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lmaguer\Downloads\"/>
    </mc:Choice>
  </mc:AlternateContent>
  <xr:revisionPtr revIDLastSave="0" documentId="13_ncr:1_{C75C6A24-2B2A-48C6-8C72-5341B877EC7E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REPORTE COBRANZA N" sheetId="23" r:id="rId1"/>
    <sheet name="CONSOLIDADO" sheetId="21" state="hidden" r:id="rId2"/>
    <sheet name="REP MES PASADO" sheetId="2" r:id="rId3"/>
    <sheet name="COMISION ADMON MAESTRA" sheetId="25" r:id="rId4"/>
    <sheet name="EVENTOS RELEVANTES " sheetId="8" r:id="rId5"/>
    <sheet name="GASTOS Y COMISIONES DE COBRANZA" sheetId="24" r:id="rId6"/>
    <sheet name="GASTOS Y COMISIONES" sheetId="19" r:id="rId7"/>
    <sheet name="REESTRUCTURAS" sheetId="15" r:id="rId8"/>
    <sheet name="CPR" sheetId="4" r:id="rId9"/>
    <sheet name="RCV " sheetId="6" r:id="rId10"/>
    <sheet name="CxC" sheetId="57" r:id="rId11"/>
    <sheet name="ADJUDICADOS" sheetId="56" r:id="rId12"/>
    <sheet name="IFC" sheetId="50" r:id="rId13"/>
    <sheet name="CONSOLIDADO 1.1" sheetId="20" state="hidden" r:id="rId14"/>
    <sheet name="CONSOLIDADO 1" sheetId="18" state="hidden" r:id="rId15"/>
  </sheets>
  <definedNames>
    <definedName name="_xlnm._FilterDatabase" localSheetId="11" hidden="1">ADJUDICADOS!$A$1:$R$92</definedName>
    <definedName name="_xlnm._FilterDatabase" localSheetId="6" hidden="1">'GASTOS Y COMISIONES'!$A$11:$O$17</definedName>
    <definedName name="_xlnm._FilterDatabase" localSheetId="9" hidden="1">'RCV '!$A$3:$W$71</definedName>
    <definedName name="_xlnm.Print_Area" localSheetId="3">'COMISION ADMON MAESTRA'!$A$1:$J$35</definedName>
    <definedName name="_xlnm.Print_Area" localSheetId="1">CONSOLIDADO!$A$1:$I$112</definedName>
    <definedName name="_xlnm.Print_Area" localSheetId="14">'CONSOLIDADO 1'!$A$1:$K$105</definedName>
    <definedName name="_xlnm.Print_Area" localSheetId="13">'CONSOLIDADO 1.1'!$B$1:$J$106</definedName>
    <definedName name="_xlnm.Print_Area" localSheetId="8">CPR!$A$1:$H$233</definedName>
    <definedName name="_xlnm.Print_Area" localSheetId="4">'EVENTOS RELEVANTES '!$A$1:$I$90</definedName>
    <definedName name="_xlnm.Print_Area" localSheetId="6">'GASTOS Y COMISIONES'!$A$1:$P$44</definedName>
    <definedName name="_xlnm.Print_Area" localSheetId="5">'GASTOS Y COMISIONES DE COBRANZA'!$A$1:$H$32</definedName>
    <definedName name="_xlnm.Print_Area" localSheetId="12">IFC!$A$1:$A$65</definedName>
    <definedName name="_xlnm.Print_Area" localSheetId="9">'RCV '!$A$1:$X$72</definedName>
    <definedName name="_xlnm.Print_Area" localSheetId="7">REESTRUCTURAS!$A$1:$L$29</definedName>
    <definedName name="_xlnm.Print_Area" localSheetId="2">'REP MES PASADO'!$A$1:$E$47</definedName>
    <definedName name="_xlnm.Print_Area" localSheetId="0">'REPORTE COBRANZA N'!$A$1:$J$106</definedName>
    <definedName name="_xlnm.Print_Titles" localSheetId="8">CPR!$3:$3</definedName>
    <definedName name="_xlnm.Print_Titles" localSheetId="6">'GASTOS Y COMISIONES'!$10:$11</definedName>
  </definedNames>
  <calcPr calcId="191029"/>
  <pivotCaches>
    <pivotCache cacheId="0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8" l="1"/>
  <c r="F79" i="23" l="1"/>
  <c r="E79" i="23"/>
  <c r="AU145" i="57"/>
  <c r="AU144" i="57"/>
  <c r="AU143" i="57"/>
  <c r="AU142" i="57"/>
  <c r="AU141" i="57"/>
  <c r="AU140" i="57"/>
  <c r="AU139" i="57"/>
  <c r="AU138" i="57"/>
  <c r="AU137" i="57"/>
  <c r="AU136" i="57"/>
  <c r="AU135" i="57"/>
  <c r="AU134" i="57"/>
  <c r="AU133" i="57"/>
  <c r="AU132" i="57"/>
  <c r="AU131" i="57"/>
  <c r="AU130" i="57"/>
  <c r="AU129" i="57"/>
  <c r="AU128" i="57"/>
  <c r="AU127" i="57"/>
  <c r="AU126" i="57"/>
  <c r="AU125" i="57"/>
  <c r="AU124" i="57"/>
  <c r="AU123" i="57"/>
  <c r="AU122" i="57"/>
  <c r="AU121" i="57"/>
  <c r="AU120" i="57"/>
  <c r="AU119" i="57"/>
  <c r="AU118" i="57"/>
  <c r="AU117" i="57"/>
  <c r="AU116" i="57"/>
  <c r="AU115" i="57"/>
  <c r="AU114" i="57"/>
  <c r="AU113" i="57"/>
  <c r="AU112" i="57"/>
  <c r="AU111" i="57"/>
  <c r="AU110" i="57"/>
  <c r="AU109" i="57"/>
  <c r="AU108" i="57"/>
  <c r="AU107" i="57"/>
  <c r="AU106" i="57"/>
  <c r="AU105" i="57"/>
  <c r="AU104" i="57"/>
  <c r="AU103" i="57"/>
  <c r="AU102" i="57"/>
  <c r="AU101" i="57"/>
  <c r="AU100" i="57"/>
  <c r="AU99" i="57"/>
  <c r="AU98" i="57"/>
  <c r="AU97" i="57"/>
  <c r="AU96" i="57"/>
  <c r="AU95" i="57"/>
  <c r="AU94" i="57"/>
  <c r="AU93" i="57"/>
  <c r="AU92" i="57"/>
  <c r="AU91" i="57"/>
  <c r="AU90" i="57"/>
  <c r="AU89" i="57"/>
  <c r="AU88" i="57"/>
  <c r="AU87" i="57"/>
  <c r="AU86" i="57"/>
  <c r="AU85" i="57"/>
  <c r="AU84" i="57"/>
  <c r="AU83" i="57"/>
  <c r="AU82" i="57"/>
  <c r="AU81" i="57"/>
  <c r="AU80" i="57"/>
  <c r="AU79" i="57"/>
  <c r="AU78" i="57"/>
  <c r="AU77" i="57"/>
  <c r="AU76" i="57"/>
  <c r="AU75" i="57"/>
  <c r="AU74" i="57"/>
  <c r="AU73" i="57"/>
  <c r="AU72" i="57"/>
  <c r="AU71" i="57"/>
  <c r="AU70" i="57"/>
  <c r="AU69" i="57"/>
  <c r="AU68" i="57"/>
  <c r="AU67" i="57"/>
  <c r="AU66" i="57"/>
  <c r="AU65" i="57"/>
  <c r="AU64" i="57"/>
  <c r="AU63" i="57"/>
  <c r="AU62" i="57"/>
  <c r="AU61" i="57"/>
  <c r="AU60" i="57"/>
  <c r="AU59" i="57"/>
  <c r="AU58" i="57"/>
  <c r="AU57" i="57"/>
  <c r="AU56" i="57"/>
  <c r="AU55" i="57"/>
  <c r="AU54" i="57"/>
  <c r="AU53" i="57"/>
  <c r="AU52" i="57"/>
  <c r="AU51" i="57"/>
  <c r="AU50" i="57"/>
  <c r="AU49" i="57"/>
  <c r="AU48" i="57"/>
  <c r="AU47" i="57"/>
  <c r="AU46" i="57"/>
  <c r="AU45" i="57"/>
  <c r="AU44" i="57"/>
  <c r="AU43" i="57"/>
  <c r="AU42" i="57"/>
  <c r="AU41" i="57"/>
  <c r="AU40" i="57"/>
  <c r="AU39" i="57"/>
  <c r="AU38" i="57"/>
  <c r="AU37" i="57"/>
  <c r="AU36" i="57"/>
  <c r="AU35" i="57"/>
  <c r="AU34" i="57"/>
  <c r="AU33" i="57"/>
  <c r="AU32" i="57"/>
  <c r="AU31" i="57"/>
  <c r="AU30" i="57"/>
  <c r="AU29" i="57"/>
  <c r="AU28" i="57"/>
  <c r="AU27" i="57"/>
  <c r="AU26" i="57"/>
  <c r="AU25" i="57"/>
  <c r="AU24" i="57"/>
  <c r="AU23" i="57"/>
  <c r="AU22" i="57"/>
  <c r="AU21" i="57"/>
  <c r="AU20" i="57"/>
  <c r="AU19" i="57"/>
  <c r="AU18" i="57"/>
  <c r="AU17" i="57"/>
  <c r="AU16" i="57"/>
  <c r="AU15" i="57"/>
  <c r="AU14" i="57"/>
  <c r="AU13" i="57"/>
  <c r="AU12" i="57"/>
  <c r="AU11" i="57"/>
  <c r="AU10" i="57"/>
  <c r="AU9" i="57"/>
  <c r="AU8" i="57"/>
  <c r="AU7" i="57"/>
  <c r="AU6" i="57"/>
  <c r="AU5" i="57"/>
  <c r="AU4" i="57"/>
  <c r="AU147" i="57" s="1"/>
  <c r="AU3" i="57"/>
  <c r="AW148" i="57"/>
  <c r="AV148" i="57"/>
  <c r="AU148" i="57"/>
  <c r="AT148" i="57"/>
  <c r="AS148" i="57"/>
  <c r="AR148" i="57"/>
  <c r="AQ148" i="57"/>
  <c r="AP148" i="57"/>
  <c r="AO148" i="57"/>
  <c r="AN148" i="57"/>
  <c r="AM148" i="57"/>
  <c r="AL148" i="57"/>
  <c r="AK148" i="57"/>
  <c r="AJ148" i="57"/>
  <c r="AI148" i="57"/>
  <c r="AH148" i="57"/>
  <c r="AG148" i="57"/>
  <c r="AF148" i="57"/>
  <c r="AE148" i="57"/>
  <c r="AD148" i="57"/>
  <c r="AC148" i="57"/>
  <c r="AB148" i="57"/>
  <c r="AA148" i="57"/>
  <c r="Z148" i="57"/>
  <c r="Y148" i="57"/>
  <c r="X148" i="57"/>
  <c r="W148" i="57"/>
  <c r="V148" i="57"/>
  <c r="U148" i="57"/>
  <c r="T148" i="57"/>
  <c r="S148" i="57"/>
  <c r="R148" i="57"/>
  <c r="Q148" i="57"/>
  <c r="P148" i="57"/>
  <c r="O148" i="57"/>
  <c r="N148" i="57"/>
  <c r="M148" i="57"/>
  <c r="L148" i="57"/>
  <c r="K148" i="57"/>
  <c r="J148" i="57"/>
  <c r="I148" i="57"/>
  <c r="H148" i="57"/>
  <c r="AW147" i="57"/>
  <c r="AV147" i="57"/>
  <c r="AT147" i="57"/>
  <c r="AS147" i="57"/>
  <c r="AR147" i="57"/>
  <c r="AQ147" i="57"/>
  <c r="AP147" i="57"/>
  <c r="AO147" i="57"/>
  <c r="AN147" i="57"/>
  <c r="AM147" i="57"/>
  <c r="AL147" i="57"/>
  <c r="AK147" i="57"/>
  <c r="AJ147" i="57"/>
  <c r="AI147" i="57"/>
  <c r="AH147" i="57"/>
  <c r="AG147" i="57"/>
  <c r="AF147" i="57"/>
  <c r="AE147" i="57"/>
  <c r="AD147" i="57"/>
  <c r="AC147" i="57"/>
  <c r="AB147" i="57"/>
  <c r="AA147" i="57"/>
  <c r="Z147" i="57"/>
  <c r="Y147" i="57"/>
  <c r="X147" i="57"/>
  <c r="W147" i="57"/>
  <c r="V147" i="57"/>
  <c r="U147" i="57"/>
  <c r="T147" i="57"/>
  <c r="S147" i="57"/>
  <c r="R147" i="57"/>
  <c r="Q147" i="57"/>
  <c r="P147" i="57"/>
  <c r="O147" i="57"/>
  <c r="N147" i="57"/>
  <c r="M147" i="57"/>
  <c r="L147" i="57"/>
  <c r="K147" i="57"/>
  <c r="J147" i="57"/>
  <c r="I147" i="57"/>
  <c r="H147" i="57"/>
  <c r="N102" i="56"/>
  <c r="M102" i="56"/>
  <c r="P60" i="56"/>
  <c r="P59" i="56"/>
  <c r="P58" i="56"/>
  <c r="P98" i="56" s="1"/>
  <c r="P57" i="56"/>
  <c r="P52" i="56"/>
  <c r="P47" i="56"/>
  <c r="P41" i="56"/>
  <c r="P39" i="56"/>
  <c r="P32" i="56"/>
  <c r="P30" i="56"/>
  <c r="P29" i="56"/>
  <c r="P28" i="56"/>
  <c r="P27" i="56"/>
  <c r="P26" i="56"/>
  <c r="P25" i="56"/>
  <c r="P24" i="56"/>
  <c r="P23" i="56"/>
  <c r="P22" i="56"/>
  <c r="P21" i="56"/>
  <c r="P20" i="56"/>
  <c r="P19" i="56"/>
  <c r="P18" i="56"/>
  <c r="P17" i="56"/>
  <c r="P16" i="56"/>
  <c r="P15" i="56"/>
  <c r="P14" i="56"/>
  <c r="P13" i="56"/>
  <c r="P12" i="56"/>
  <c r="P11" i="56"/>
  <c r="P10" i="56"/>
  <c r="P9" i="56"/>
  <c r="P8" i="56"/>
  <c r="P7" i="56"/>
  <c r="P6" i="56"/>
  <c r="P5" i="56"/>
  <c r="P4" i="56"/>
  <c r="P3" i="56"/>
  <c r="P2" i="56"/>
  <c r="N98" i="56"/>
  <c r="M98" i="56"/>
  <c r="C17" i="23"/>
  <c r="S74" i="6" l="1"/>
  <c r="J10" i="23"/>
  <c r="R22" i="19" l="1"/>
  <c r="E97" i="23" l="1"/>
  <c r="H82" i="23"/>
  <c r="H81" i="23"/>
  <c r="C60" i="8" l="1"/>
  <c r="E60" i="8" l="1"/>
  <c r="D60" i="8" l="1"/>
  <c r="J32" i="19" l="1"/>
  <c r="I43" i="19" l="1"/>
  <c r="J33" i="19"/>
  <c r="J34" i="19" s="1"/>
  <c r="R23" i="19" l="1"/>
  <c r="C24" i="25" s="1"/>
  <c r="F78" i="8"/>
  <c r="K45" i="8"/>
  <c r="K44" i="8"/>
  <c r="C48" i="8"/>
  <c r="C47" i="8"/>
  <c r="K46" i="8" l="1"/>
  <c r="D59" i="8"/>
  <c r="F93" i="8" l="1"/>
  <c r="F94" i="8"/>
  <c r="D62" i="8"/>
  <c r="D84" i="8"/>
  <c r="G84" i="8"/>
  <c r="F84" i="8"/>
  <c r="E84" i="8"/>
  <c r="E93" i="23" l="1"/>
  <c r="D51" i="23" l="1"/>
  <c r="C37" i="23" l="1"/>
  <c r="E59" i="8" l="1"/>
  <c r="C59" i="8"/>
  <c r="D49" i="23" l="1"/>
  <c r="L21" i="19" l="1"/>
  <c r="I38" i="2"/>
  <c r="D45" i="2" s="1"/>
  <c r="J38" i="2" l="1"/>
  <c r="G93" i="8"/>
  <c r="G94" i="8"/>
  <c r="C97" i="8"/>
  <c r="D50" i="23"/>
  <c r="Q34" i="19" s="1"/>
  <c r="R34" i="19" s="1"/>
  <c r="D52" i="23"/>
  <c r="F52" i="23" s="1"/>
  <c r="Q43" i="19" s="1"/>
  <c r="R43" i="19" s="1"/>
  <c r="C51" i="23"/>
  <c r="D46" i="23"/>
  <c r="C46" i="23" s="1"/>
  <c r="D45" i="23"/>
  <c r="C47" i="23"/>
  <c r="L6" i="19"/>
  <c r="C52" i="23" l="1"/>
  <c r="F51" i="23"/>
  <c r="I38" i="23"/>
  <c r="D43" i="23" l="1"/>
  <c r="C43" i="23" s="1"/>
  <c r="E92" i="23" l="1"/>
  <c r="C98" i="8" s="1"/>
  <c r="E90" i="23"/>
  <c r="G86" i="23"/>
  <c r="G85" i="23"/>
  <c r="G84" i="23"/>
  <c r="B78" i="8" l="1"/>
  <c r="D28" i="8" l="1"/>
  <c r="D27" i="8" s="1"/>
  <c r="D26" i="8" l="1"/>
  <c r="D25" i="8" s="1"/>
  <c r="D24" i="8" s="1"/>
  <c r="D23" i="8" s="1"/>
  <c r="D22" i="8" s="1"/>
  <c r="D21" i="8" s="1"/>
  <c r="D20" i="8" s="1"/>
  <c r="D19" i="8" s="1"/>
  <c r="D32" i="23"/>
  <c r="D33" i="23"/>
  <c r="L7" i="19" l="1"/>
  <c r="D64" i="23"/>
  <c r="L8" i="19" l="1"/>
  <c r="C46" i="8" s="1"/>
  <c r="A2" i="6" l="1"/>
  <c r="T2" i="6"/>
  <c r="F27" i="24" l="1"/>
  <c r="C64" i="23"/>
  <c r="C34" i="23" l="1"/>
  <c r="AU155" i="57" s="1"/>
  <c r="E26" i="25" l="1"/>
  <c r="E25" i="25"/>
  <c r="E24" i="25"/>
  <c r="C20" i="25" l="1"/>
  <c r="C15" i="25"/>
  <c r="E15" i="25" s="1"/>
  <c r="F15" i="25" s="1"/>
  <c r="C14" i="25"/>
  <c r="E14" i="25" s="1"/>
  <c r="F14" i="25" s="1"/>
  <c r="C13" i="25"/>
  <c r="E13" i="25" s="1"/>
  <c r="F13" i="25" s="1"/>
  <c r="C12" i="25"/>
  <c r="E12" i="25" s="1"/>
  <c r="F12" i="25" s="1"/>
  <c r="C11" i="25"/>
  <c r="E11" i="25" s="1"/>
  <c r="F11" i="25" s="1"/>
  <c r="C10" i="25"/>
  <c r="E10" i="25" s="1"/>
  <c r="F10" i="25" s="1"/>
  <c r="C9" i="25"/>
  <c r="E9" i="25" s="1"/>
  <c r="F9" i="25" s="1"/>
  <c r="C8" i="25"/>
  <c r="E8" i="25" s="1"/>
  <c r="F8" i="25" s="1"/>
  <c r="E20" i="25" l="1"/>
  <c r="F16" i="25"/>
  <c r="E32" i="25" s="1"/>
  <c r="E34" i="25" s="1"/>
  <c r="E16" i="25"/>
  <c r="C16" i="25"/>
  <c r="D30" i="25"/>
  <c r="E30" i="25" s="1"/>
  <c r="F11" i="24"/>
  <c r="D12" i="23" l="1"/>
  <c r="D11" i="23"/>
  <c r="D10" i="23"/>
  <c r="D9" i="23"/>
  <c r="I16" i="25" l="1"/>
  <c r="I10" i="25"/>
  <c r="I17" i="25" l="1"/>
  <c r="I18" i="25" s="1"/>
  <c r="I11" i="25"/>
  <c r="I12" i="25" s="1"/>
  <c r="L22" i="19"/>
  <c r="L23" i="19" s="1"/>
  <c r="F22" i="24" l="1"/>
  <c r="D38" i="23"/>
  <c r="C62" i="8" l="1"/>
  <c r="I35" i="2" l="1"/>
  <c r="D41" i="2" l="1"/>
  <c r="J35" i="2" s="1"/>
  <c r="F50" i="23"/>
  <c r="C50" i="23"/>
  <c r="K50" i="23" l="1"/>
  <c r="D53" i="23"/>
  <c r="I26" i="2"/>
  <c r="F16" i="24" l="1"/>
  <c r="F34" i="23"/>
  <c r="K34" i="23" l="1"/>
  <c r="E62" i="8" l="1"/>
  <c r="C49" i="8" l="1"/>
  <c r="C79" i="23" l="1"/>
  <c r="L90" i="23"/>
  <c r="J12" i="23"/>
  <c r="J11" i="23"/>
  <c r="I13" i="23"/>
  <c r="J13" i="23" s="1"/>
  <c r="F66" i="23" l="1"/>
  <c r="C66" i="23"/>
  <c r="K66" i="23" s="1"/>
  <c r="F48" i="23"/>
  <c r="F47" i="23"/>
  <c r="F46" i="23"/>
  <c r="Q8" i="19" s="1"/>
  <c r="D19" i="23"/>
  <c r="L82" i="23" l="1"/>
  <c r="H94" i="8"/>
  <c r="L81" i="23" l="1"/>
  <c r="H93" i="8"/>
  <c r="D44" i="23"/>
  <c r="C44" i="23" s="1"/>
  <c r="F6" i="24"/>
  <c r="F30" i="24" s="1"/>
  <c r="E9" i="24"/>
  <c r="E19" i="24" l="1"/>
  <c r="D15" i="24"/>
  <c r="E14" i="24"/>
  <c r="D14" i="24" s="1"/>
  <c r="D9" i="24"/>
  <c r="D10" i="24"/>
  <c r="D5" i="24"/>
  <c r="D21" i="24" l="1"/>
  <c r="E25" i="24"/>
  <c r="D20" i="24"/>
  <c r="D19" i="24"/>
  <c r="D11" i="24"/>
  <c r="D16" i="24"/>
  <c r="D6" i="24"/>
  <c r="D26" i="24" l="1"/>
  <c r="D25" i="24"/>
  <c r="D22" i="24"/>
  <c r="D180" i="4"/>
  <c r="D27" i="24" l="1"/>
  <c r="D30" i="24" s="1"/>
  <c r="E180" i="4"/>
  <c r="I39" i="2" l="1"/>
  <c r="C45" i="23" l="1"/>
  <c r="C16" i="23" l="1"/>
  <c r="C15" i="23"/>
  <c r="I37" i="2" l="1"/>
  <c r="I36" i="2"/>
  <c r="I34" i="2"/>
  <c r="I33" i="2"/>
  <c r="I32" i="2"/>
  <c r="I31" i="2"/>
  <c r="I30" i="2"/>
  <c r="I29" i="2"/>
  <c r="I28" i="2"/>
  <c r="I25" i="2"/>
  <c r="I24" i="2"/>
  <c r="D31" i="2" s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D42" i="2" l="1"/>
  <c r="J36" i="2" s="1"/>
  <c r="D43" i="2"/>
  <c r="J37" i="2" s="1"/>
  <c r="D36" i="2"/>
  <c r="J30" i="2" s="1"/>
  <c r="D35" i="2"/>
  <c r="D34" i="2"/>
  <c r="D37" i="2"/>
  <c r="J31" i="2" s="1"/>
  <c r="D38" i="2"/>
  <c r="J32" i="2" s="1"/>
  <c r="D39" i="2"/>
  <c r="J33" i="2" s="1"/>
  <c r="D26" i="2"/>
  <c r="J19" i="2" s="1"/>
  <c r="D29" i="2"/>
  <c r="J22" i="2" s="1"/>
  <c r="D18" i="2"/>
  <c r="J12" i="2" s="1"/>
  <c r="D21" i="2"/>
  <c r="J15" i="2" s="1"/>
  <c r="D20" i="2"/>
  <c r="J14" i="2" s="1"/>
  <c r="D14" i="2"/>
  <c r="J8" i="2" s="1"/>
  <c r="J24" i="2"/>
  <c r="D27" i="2"/>
  <c r="J20" i="2" s="1"/>
  <c r="D19" i="2"/>
  <c r="J13" i="2" s="1"/>
  <c r="D28" i="2"/>
  <c r="J21" i="2" s="1"/>
  <c r="D12" i="2"/>
  <c r="J6" i="2" s="1"/>
  <c r="D13" i="2"/>
  <c r="J7" i="2" s="1"/>
  <c r="D30" i="2"/>
  <c r="J23" i="2" s="1"/>
  <c r="D22" i="2"/>
  <c r="J16" i="2" s="1"/>
  <c r="D15" i="2"/>
  <c r="J9" i="2" s="1"/>
  <c r="D23" i="2"/>
  <c r="J17" i="2" s="1"/>
  <c r="D32" i="2"/>
  <c r="J25" i="2" s="1"/>
  <c r="D16" i="2"/>
  <c r="J10" i="2" s="1"/>
  <c r="D25" i="2"/>
  <c r="J18" i="2" s="1"/>
  <c r="D40" i="2"/>
  <c r="J34" i="2" s="1"/>
  <c r="J28" i="2" l="1"/>
  <c r="J41" i="2"/>
  <c r="J40" i="2"/>
  <c r="J29" i="2"/>
  <c r="D17" i="2"/>
  <c r="F32" i="23"/>
  <c r="K32" i="23" s="1"/>
  <c r="F19" i="23"/>
  <c r="K19" i="23" s="1"/>
  <c r="F17" i="23"/>
  <c r="J11" i="2" l="1"/>
  <c r="D47" i="2"/>
  <c r="K17" i="23"/>
  <c r="J26" i="2"/>
  <c r="C49" i="23" l="1"/>
  <c r="D95" i="23"/>
  <c r="F82" i="23"/>
  <c r="E82" i="23"/>
  <c r="D82" i="23"/>
  <c r="S77" i="6" s="1"/>
  <c r="C82" i="23"/>
  <c r="C232" i="4" s="1"/>
  <c r="F81" i="23"/>
  <c r="E81" i="23"/>
  <c r="D81" i="23"/>
  <c r="C81" i="23"/>
  <c r="G82" i="23"/>
  <c r="K82" i="23" s="1"/>
  <c r="D78" i="23"/>
  <c r="F68" i="23"/>
  <c r="K68" i="23" s="1"/>
  <c r="F65" i="23"/>
  <c r="C65" i="23"/>
  <c r="K65" i="23" s="1"/>
  <c r="E64" i="23"/>
  <c r="E63" i="23"/>
  <c r="C63" i="23"/>
  <c r="D63" i="23" s="1"/>
  <c r="E62" i="23"/>
  <c r="C62" i="23"/>
  <c r="D62" i="23" s="1"/>
  <c r="E57" i="23"/>
  <c r="C57" i="23"/>
  <c r="E56" i="23"/>
  <c r="C56" i="23"/>
  <c r="E54" i="23"/>
  <c r="E61" i="23" s="1"/>
  <c r="F45" i="23"/>
  <c r="F44" i="23"/>
  <c r="D39" i="23"/>
  <c r="F38" i="23"/>
  <c r="D31" i="23"/>
  <c r="D30" i="23"/>
  <c r="D29" i="23"/>
  <c r="F29" i="23" s="1"/>
  <c r="K29" i="23" s="1"/>
  <c r="D28" i="23"/>
  <c r="F28" i="23" s="1"/>
  <c r="K28" i="23" s="1"/>
  <c r="D27" i="23"/>
  <c r="F27" i="23" s="1"/>
  <c r="D26" i="23"/>
  <c r="F26" i="23" s="1"/>
  <c r="K26" i="23" s="1"/>
  <c r="D25" i="23"/>
  <c r="F25" i="23" s="1"/>
  <c r="K25" i="23" s="1"/>
  <c r="D24" i="23"/>
  <c r="F24" i="23" s="1"/>
  <c r="D23" i="23"/>
  <c r="F23" i="23" s="1"/>
  <c r="K23" i="23" s="1"/>
  <c r="D22" i="23"/>
  <c r="F22" i="23" s="1"/>
  <c r="K22" i="23" s="1"/>
  <c r="D21" i="23"/>
  <c r="C20" i="23"/>
  <c r="D18" i="23"/>
  <c r="F18" i="23" s="1"/>
  <c r="K18" i="23" s="1"/>
  <c r="E16" i="23"/>
  <c r="E15" i="23"/>
  <c r="E13" i="23"/>
  <c r="F12" i="23"/>
  <c r="K12" i="23" s="1"/>
  <c r="F11" i="23"/>
  <c r="K11" i="23" s="1"/>
  <c r="F10" i="23"/>
  <c r="B232" i="4" s="1"/>
  <c r="E232" i="4" l="1"/>
  <c r="D232" i="4"/>
  <c r="E231" i="4"/>
  <c r="D231" i="4"/>
  <c r="E230" i="4"/>
  <c r="D230" i="4"/>
  <c r="E229" i="4"/>
  <c r="D229" i="4"/>
  <c r="E228" i="4"/>
  <c r="D228" i="4"/>
  <c r="D227" i="4"/>
  <c r="E227" i="4"/>
  <c r="D226" i="4"/>
  <c r="E226" i="4"/>
  <c r="D225" i="4"/>
  <c r="E225" i="4"/>
  <c r="E224" i="4"/>
  <c r="D224" i="4"/>
  <c r="E223" i="4"/>
  <c r="D223" i="4"/>
  <c r="E222" i="4"/>
  <c r="D222" i="4"/>
  <c r="D221" i="4"/>
  <c r="E221" i="4"/>
  <c r="D220" i="4"/>
  <c r="E220" i="4"/>
  <c r="E219" i="4"/>
  <c r="D219" i="4"/>
  <c r="E218" i="4"/>
  <c r="D218" i="4"/>
  <c r="E217" i="4"/>
  <c r="D217" i="4"/>
  <c r="E216" i="4"/>
  <c r="D216" i="4"/>
  <c r="E215" i="4"/>
  <c r="D215" i="4"/>
  <c r="C35" i="23"/>
  <c r="AU151" i="57" s="1"/>
  <c r="AU154" i="57" s="1"/>
  <c r="E214" i="4"/>
  <c r="D214" i="4"/>
  <c r="E213" i="4"/>
  <c r="D213" i="4"/>
  <c r="D212" i="4"/>
  <c r="E212" i="4"/>
  <c r="E211" i="4"/>
  <c r="D211" i="4"/>
  <c r="E210" i="4"/>
  <c r="D210" i="4"/>
  <c r="E209" i="4"/>
  <c r="D209" i="4"/>
  <c r="E208" i="4"/>
  <c r="D208" i="4"/>
  <c r="E207" i="4"/>
  <c r="D207" i="4"/>
  <c r="D206" i="4"/>
  <c r="E206" i="4"/>
  <c r="D205" i="4"/>
  <c r="E205" i="4"/>
  <c r="D204" i="4"/>
  <c r="E204" i="4"/>
  <c r="D203" i="4"/>
  <c r="E203" i="4"/>
  <c r="F64" i="23"/>
  <c r="K64" i="23" s="1"/>
  <c r="D202" i="4"/>
  <c r="E202" i="4"/>
  <c r="D201" i="4"/>
  <c r="E201" i="4"/>
  <c r="E200" i="4"/>
  <c r="D200" i="4"/>
  <c r="E199" i="4"/>
  <c r="D199" i="4"/>
  <c r="E198" i="4"/>
  <c r="D198" i="4"/>
  <c r="D197" i="4"/>
  <c r="E197" i="4"/>
  <c r="D196" i="4"/>
  <c r="E196" i="4"/>
  <c r="E195" i="4"/>
  <c r="D195" i="4"/>
  <c r="K10" i="23"/>
  <c r="J27" i="23"/>
  <c r="J30" i="23" s="1"/>
  <c r="K27" i="23"/>
  <c r="K79" i="23"/>
  <c r="K95" i="23"/>
  <c r="L44" i="23"/>
  <c r="K44" i="23"/>
  <c r="L45" i="23"/>
  <c r="K45" i="23"/>
  <c r="D193" i="4"/>
  <c r="E193" i="4"/>
  <c r="D192" i="4"/>
  <c r="E192" i="4"/>
  <c r="E191" i="4"/>
  <c r="D191" i="4"/>
  <c r="D190" i="4"/>
  <c r="E190" i="4"/>
  <c r="E189" i="4"/>
  <c r="D189" i="4"/>
  <c r="E188" i="4"/>
  <c r="D188" i="4"/>
  <c r="E187" i="4"/>
  <c r="D187" i="4"/>
  <c r="E186" i="4"/>
  <c r="D186" i="4"/>
  <c r="F21" i="23"/>
  <c r="K21" i="23" s="1"/>
  <c r="E185" i="4"/>
  <c r="D185" i="4"/>
  <c r="E184" i="4"/>
  <c r="D184" i="4"/>
  <c r="E183" i="4"/>
  <c r="D183" i="4"/>
  <c r="F39" i="23"/>
  <c r="K39" i="23" s="1"/>
  <c r="D182" i="4"/>
  <c r="E182" i="4"/>
  <c r="E20" i="23"/>
  <c r="E35" i="23" s="1"/>
  <c r="E60" i="23" s="1"/>
  <c r="E67" i="23" s="1"/>
  <c r="D181" i="4"/>
  <c r="E181" i="4"/>
  <c r="E179" i="4"/>
  <c r="D179" i="4"/>
  <c r="D178" i="4"/>
  <c r="E178" i="4"/>
  <c r="F31" i="23"/>
  <c r="J37" i="23" s="1"/>
  <c r="F49" i="23"/>
  <c r="L49" i="23" s="1"/>
  <c r="E177" i="4"/>
  <c r="D177" i="4"/>
  <c r="F30" i="23"/>
  <c r="K30" i="23" s="1"/>
  <c r="F33" i="23"/>
  <c r="F62" i="23"/>
  <c r="K62" i="23" s="1"/>
  <c r="E176" i="4"/>
  <c r="D176" i="4"/>
  <c r="D56" i="23"/>
  <c r="F56" i="23" s="1"/>
  <c r="K56" i="23" s="1"/>
  <c r="F9" i="23"/>
  <c r="K9" i="23" s="1"/>
  <c r="D175" i="4"/>
  <c r="E175" i="4"/>
  <c r="E58" i="23"/>
  <c r="F63" i="23"/>
  <c r="K63" i="23" s="1"/>
  <c r="C58" i="23"/>
  <c r="D16" i="23"/>
  <c r="F16" i="23" s="1"/>
  <c r="K16" i="23" s="1"/>
  <c r="D15" i="23"/>
  <c r="G74" i="23"/>
  <c r="G72" i="23"/>
  <c r="G76" i="23"/>
  <c r="D71" i="23"/>
  <c r="D75" i="23"/>
  <c r="D73" i="23"/>
  <c r="D77" i="23"/>
  <c r="D57" i="23"/>
  <c r="I15" i="23"/>
  <c r="J15" i="23" s="1"/>
  <c r="G78" i="23"/>
  <c r="F83" i="23" s="1"/>
  <c r="D37" i="23"/>
  <c r="F37" i="23" s="1"/>
  <c r="K37" i="23" s="1"/>
  <c r="G71" i="23"/>
  <c r="G73" i="23"/>
  <c r="G75" i="23"/>
  <c r="G77" i="23"/>
  <c r="G81" i="23"/>
  <c r="K81" i="23" s="1"/>
  <c r="D72" i="23"/>
  <c r="D74" i="23"/>
  <c r="D76" i="23"/>
  <c r="J39" i="23" l="1"/>
  <c r="J21" i="23"/>
  <c r="Q24" i="19"/>
  <c r="R24" i="19" s="1"/>
  <c r="C8" i="23"/>
  <c r="E95" i="23" s="1"/>
  <c r="E98" i="23" s="1"/>
  <c r="K31" i="23"/>
  <c r="K33" i="23"/>
  <c r="D194" i="4"/>
  <c r="E194" i="4"/>
  <c r="K49" i="23"/>
  <c r="J20" i="23"/>
  <c r="D20" i="23"/>
  <c r="D35" i="23" s="1"/>
  <c r="F15" i="23"/>
  <c r="D58" i="23"/>
  <c r="F57" i="23"/>
  <c r="D79" i="23"/>
  <c r="C83" i="23"/>
  <c r="E83" i="23"/>
  <c r="G79" i="23"/>
  <c r="G83" i="23" s="1"/>
  <c r="D83" i="23"/>
  <c r="J23" i="23" l="1"/>
  <c r="L10" i="23"/>
  <c r="D8" i="23"/>
  <c r="L79" i="23"/>
  <c r="C13" i="23"/>
  <c r="L15" i="23"/>
  <c r="F20" i="23"/>
  <c r="K15" i="23"/>
  <c r="F58" i="23"/>
  <c r="K58" i="23" s="1"/>
  <c r="K57" i="23"/>
  <c r="C60" i="23"/>
  <c r="F35" i="23" l="1"/>
  <c r="J36" i="23" s="1"/>
  <c r="J38" i="23" s="1"/>
  <c r="J40" i="23" s="1"/>
  <c r="J41" i="23" s="1"/>
  <c r="M79" i="23"/>
  <c r="L95" i="23"/>
  <c r="M10" i="23"/>
  <c r="F8" i="23"/>
  <c r="K8" i="23" s="1"/>
  <c r="D13" i="23"/>
  <c r="F13" i="23" s="1"/>
  <c r="K13" i="23" s="1"/>
  <c r="M15" i="23"/>
  <c r="K20" i="23"/>
  <c r="D60" i="23"/>
  <c r="I90" i="21"/>
  <c r="F60" i="23" l="1"/>
  <c r="K35" i="23"/>
  <c r="D15" i="21"/>
  <c r="K60" i="23" l="1"/>
  <c r="E73" i="21"/>
  <c r="E72" i="21" l="1"/>
  <c r="J65" i="21" l="1"/>
  <c r="K65" i="21"/>
  <c r="K52" i="21"/>
  <c r="K45" i="21"/>
  <c r="E87" i="21" l="1"/>
  <c r="E24" i="21"/>
  <c r="I89" i="21"/>
  <c r="E53" i="21"/>
  <c r="K53" i="21" l="1"/>
  <c r="J53" i="21"/>
  <c r="D37" i="21"/>
  <c r="D41" i="21" s="1"/>
  <c r="D13" i="21"/>
  <c r="E47" i="21" l="1"/>
  <c r="K47" i="21" l="1"/>
  <c r="J45" i="21"/>
  <c r="J47" i="21"/>
  <c r="G94" i="21"/>
  <c r="G93" i="21"/>
  <c r="G92" i="21"/>
  <c r="D69" i="21" l="1"/>
  <c r="D68" i="21"/>
  <c r="H9" i="21" l="1"/>
  <c r="E50" i="21" l="1"/>
  <c r="D40" i="21"/>
  <c r="D43" i="21" s="1"/>
  <c r="E166" i="4" l="1"/>
  <c r="D166" i="4"/>
  <c r="E165" i="4"/>
  <c r="D165" i="4"/>
  <c r="E164" i="4"/>
  <c r="D164" i="4"/>
  <c r="E163" i="4"/>
  <c r="D163" i="4"/>
  <c r="E162" i="4"/>
  <c r="D162" i="4"/>
  <c r="E161" i="4"/>
  <c r="D161" i="4"/>
  <c r="E160" i="4"/>
  <c r="D160" i="4"/>
  <c r="E159" i="4"/>
  <c r="D159" i="4"/>
  <c r="E158" i="4"/>
  <c r="D158" i="4"/>
  <c r="E157" i="4"/>
  <c r="D157" i="4"/>
  <c r="E33" i="21" l="1"/>
  <c r="D57" i="21"/>
  <c r="D56" i="21"/>
  <c r="D58" i="21" l="1"/>
  <c r="E18" i="21"/>
  <c r="D145" i="4" l="1"/>
  <c r="E145" i="4"/>
  <c r="D146" i="4"/>
  <c r="E146" i="4"/>
  <c r="D147" i="4"/>
  <c r="E147" i="4"/>
  <c r="D148" i="4"/>
  <c r="E148" i="4"/>
  <c r="D149" i="4"/>
  <c r="E149" i="4"/>
  <c r="D150" i="4"/>
  <c r="E150" i="4"/>
  <c r="D151" i="4"/>
  <c r="E151" i="4"/>
  <c r="D152" i="4"/>
  <c r="E152" i="4"/>
  <c r="D153" i="4"/>
  <c r="E153" i="4"/>
  <c r="D156" i="4"/>
  <c r="E156" i="4"/>
  <c r="D19" i="21"/>
  <c r="D35" i="21" s="1"/>
  <c r="D66" i="21" s="1"/>
  <c r="J33" i="21" l="1"/>
  <c r="D103" i="21"/>
  <c r="F90" i="21"/>
  <c r="N90" i="21" s="1"/>
  <c r="E90" i="21"/>
  <c r="M90" i="21" s="1"/>
  <c r="D90" i="21"/>
  <c r="H93" i="21" s="1"/>
  <c r="C90" i="21"/>
  <c r="F89" i="21"/>
  <c r="N89" i="21" s="1"/>
  <c r="E89" i="21"/>
  <c r="M89" i="21" s="1"/>
  <c r="D89" i="21"/>
  <c r="C89" i="21"/>
  <c r="F87" i="21"/>
  <c r="E106" i="21" s="1"/>
  <c r="C87" i="21"/>
  <c r="E9" i="21"/>
  <c r="J9" i="21" s="1"/>
  <c r="E10" i="21"/>
  <c r="J10" i="21" s="1"/>
  <c r="E11" i="21"/>
  <c r="K11" i="21" s="1"/>
  <c r="E15" i="21"/>
  <c r="E16" i="21"/>
  <c r="J16" i="21" s="1"/>
  <c r="E20" i="21"/>
  <c r="K20" i="21" s="1"/>
  <c r="E21" i="21"/>
  <c r="K21" i="21" s="1"/>
  <c r="E22" i="21"/>
  <c r="K22" i="21" s="1"/>
  <c r="E23" i="21"/>
  <c r="J23" i="21" s="1"/>
  <c r="J24" i="21"/>
  <c r="E25" i="21"/>
  <c r="E56" i="21" s="1"/>
  <c r="J56" i="21" s="1"/>
  <c r="E26" i="21"/>
  <c r="E27" i="21"/>
  <c r="K27" i="21" s="1"/>
  <c r="E28" i="21"/>
  <c r="K28" i="21" s="1"/>
  <c r="E29" i="21"/>
  <c r="J29" i="21" s="1"/>
  <c r="E30" i="21"/>
  <c r="K30" i="21" s="1"/>
  <c r="E31" i="21"/>
  <c r="K31" i="21" s="1"/>
  <c r="E32" i="21"/>
  <c r="E34" i="21"/>
  <c r="E38" i="21"/>
  <c r="E43" i="21" s="1"/>
  <c r="E39" i="21"/>
  <c r="K39" i="21" s="1"/>
  <c r="E40" i="21"/>
  <c r="J40" i="21" s="1"/>
  <c r="E44" i="21"/>
  <c r="E57" i="21" s="1"/>
  <c r="E48" i="21"/>
  <c r="J48" i="21" s="1"/>
  <c r="J49" i="21"/>
  <c r="K50" i="21"/>
  <c r="J52" i="21"/>
  <c r="J71" i="21"/>
  <c r="H10" i="21"/>
  <c r="J14" i="21"/>
  <c r="J17" i="21"/>
  <c r="J18" i="21"/>
  <c r="J36" i="21"/>
  <c r="J42" i="21"/>
  <c r="J46" i="21"/>
  <c r="J55" i="21"/>
  <c r="J59" i="21"/>
  <c r="J62" i="21"/>
  <c r="J63" i="21"/>
  <c r="J64" i="21"/>
  <c r="J70" i="21"/>
  <c r="K70" i="21"/>
  <c r="K64" i="21"/>
  <c r="K63" i="21"/>
  <c r="K62" i="21"/>
  <c r="K59" i="21"/>
  <c r="K46" i="21"/>
  <c r="K33" i="21"/>
  <c r="L19" i="21"/>
  <c r="K18" i="21"/>
  <c r="K17" i="21"/>
  <c r="E35" i="20"/>
  <c r="J34" i="21" l="1"/>
  <c r="I18" i="21"/>
  <c r="E54" i="21"/>
  <c r="E67" i="21" s="1"/>
  <c r="E68" i="21"/>
  <c r="J68" i="21" s="1"/>
  <c r="I17" i="21"/>
  <c r="G84" i="21"/>
  <c r="G83" i="21"/>
  <c r="G79" i="21"/>
  <c r="G82" i="21"/>
  <c r="G86" i="21"/>
  <c r="G85" i="21"/>
  <c r="G81" i="21"/>
  <c r="G80" i="21"/>
  <c r="D84" i="21"/>
  <c r="D80" i="21"/>
  <c r="D83" i="21"/>
  <c r="D79" i="21"/>
  <c r="D86" i="21"/>
  <c r="D82" i="21"/>
  <c r="D85" i="21"/>
  <c r="D81" i="21"/>
  <c r="K89" i="21"/>
  <c r="G89" i="21"/>
  <c r="O89" i="21" s="1"/>
  <c r="G90" i="21"/>
  <c r="E91" i="21" s="1"/>
  <c r="L89" i="21"/>
  <c r="H92" i="21"/>
  <c r="J43" i="21"/>
  <c r="L90" i="21"/>
  <c r="K90" i="21"/>
  <c r="K15" i="21"/>
  <c r="E19" i="21"/>
  <c r="E35" i="21" s="1"/>
  <c r="K97" i="21"/>
  <c r="L97" i="21"/>
  <c r="L35" i="21"/>
  <c r="J12" i="21"/>
  <c r="K12" i="21"/>
  <c r="K26" i="21"/>
  <c r="J26" i="21"/>
  <c r="J38" i="21"/>
  <c r="K9" i="21"/>
  <c r="J30" i="21"/>
  <c r="I10" i="21"/>
  <c r="H12" i="21"/>
  <c r="K49" i="21"/>
  <c r="J25" i="21"/>
  <c r="J22" i="21"/>
  <c r="J21" i="21"/>
  <c r="K34" i="21"/>
  <c r="J20" i="21"/>
  <c r="E69" i="21"/>
  <c r="I24" i="21"/>
  <c r="I26" i="21" s="1"/>
  <c r="E61" i="21"/>
  <c r="J61" i="21" s="1"/>
  <c r="J50" i="21"/>
  <c r="J31" i="21"/>
  <c r="J27" i="21"/>
  <c r="J44" i="21"/>
  <c r="J39" i="21"/>
  <c r="E58" i="21"/>
  <c r="E37" i="21"/>
  <c r="K48" i="21"/>
  <c r="K32" i="21"/>
  <c r="J15" i="21"/>
  <c r="J11" i="21"/>
  <c r="K25" i="21"/>
  <c r="J57" i="21"/>
  <c r="J32" i="21"/>
  <c r="J28" i="21"/>
  <c r="K29" i="21"/>
  <c r="K57" i="21"/>
  <c r="K10" i="21"/>
  <c r="K16" i="21"/>
  <c r="K23" i="21"/>
  <c r="K40" i="21"/>
  <c r="K43" i="21"/>
  <c r="K44" i="21"/>
  <c r="K24" i="21"/>
  <c r="K38" i="21"/>
  <c r="K68" i="21" l="1"/>
  <c r="I19" i="21"/>
  <c r="M91" i="21"/>
  <c r="O90" i="21"/>
  <c r="C91" i="21"/>
  <c r="K91" i="21" s="1"/>
  <c r="D91" i="21"/>
  <c r="H94" i="21" s="1"/>
  <c r="F91" i="21"/>
  <c r="N91" i="21" s="1"/>
  <c r="I12" i="21"/>
  <c r="J60" i="21"/>
  <c r="K60" i="21"/>
  <c r="K69" i="21"/>
  <c r="J69" i="21"/>
  <c r="J19" i="21"/>
  <c r="E41" i="21"/>
  <c r="J41" i="21" s="1"/>
  <c r="J37" i="21"/>
  <c r="J35" i="21"/>
  <c r="E66" i="21"/>
  <c r="E74" i="21" s="1"/>
  <c r="M74" i="21" s="1"/>
  <c r="J58" i="21"/>
  <c r="M19" i="21"/>
  <c r="K19" i="21"/>
  <c r="K61" i="21"/>
  <c r="K56" i="21"/>
  <c r="K37" i="21"/>
  <c r="L91" i="21" l="1"/>
  <c r="K66" i="21"/>
  <c r="J66" i="21"/>
  <c r="E8" i="21"/>
  <c r="J8" i="21" s="1"/>
  <c r="K87" i="21"/>
  <c r="K41" i="21"/>
  <c r="M35" i="21"/>
  <c r="K35" i="21"/>
  <c r="K58" i="21"/>
  <c r="K8" i="21" l="1"/>
  <c r="E13" i="21"/>
  <c r="J13" i="21" s="1"/>
  <c r="I9" i="21"/>
  <c r="L87" i="21"/>
  <c r="K13" i="21" l="1"/>
  <c r="E101" i="20" l="1"/>
  <c r="M96" i="20" s="1"/>
  <c r="H92" i="20"/>
  <c r="H91" i="20"/>
  <c r="H90" i="20"/>
  <c r="G88" i="20"/>
  <c r="O88" i="20" s="1"/>
  <c r="F88" i="20"/>
  <c r="E88" i="20"/>
  <c r="M88" i="20" s="1"/>
  <c r="D88" i="20"/>
  <c r="L88" i="20" s="1"/>
  <c r="G87" i="20"/>
  <c r="O87" i="20" s="1"/>
  <c r="F87" i="20"/>
  <c r="N87" i="20" s="1"/>
  <c r="E87" i="20"/>
  <c r="M87" i="20" s="1"/>
  <c r="D87" i="20"/>
  <c r="L87" i="20" s="1"/>
  <c r="G85" i="20"/>
  <c r="F101" i="20" s="1"/>
  <c r="M101" i="20" s="1"/>
  <c r="F85" i="20"/>
  <c r="L96" i="20" s="1"/>
  <c r="D85" i="20"/>
  <c r="E84" i="20" s="1"/>
  <c r="K74" i="20"/>
  <c r="E72" i="20"/>
  <c r="F71" i="20"/>
  <c r="K71" i="20" s="1"/>
  <c r="L70" i="20"/>
  <c r="K70" i="20"/>
  <c r="K65" i="20"/>
  <c r="L64" i="20"/>
  <c r="K64" i="20"/>
  <c r="L63" i="20"/>
  <c r="K63" i="20"/>
  <c r="L62" i="20"/>
  <c r="K62" i="20"/>
  <c r="E60" i="20"/>
  <c r="L59" i="20"/>
  <c r="K59" i="20"/>
  <c r="E57" i="20"/>
  <c r="E56" i="20"/>
  <c r="K55" i="20"/>
  <c r="F53" i="20"/>
  <c r="L53" i="20" s="1"/>
  <c r="E52" i="20"/>
  <c r="K52" i="20" s="1"/>
  <c r="F51" i="20"/>
  <c r="L51" i="20" s="1"/>
  <c r="F50" i="20"/>
  <c r="L50" i="20" s="1"/>
  <c r="F49" i="20"/>
  <c r="L49" i="20" s="1"/>
  <c r="F48" i="20"/>
  <c r="K48" i="20" s="1"/>
  <c r="F47" i="20"/>
  <c r="L47" i="20" s="1"/>
  <c r="L46" i="20"/>
  <c r="K46" i="20"/>
  <c r="F45" i="20"/>
  <c r="K45" i="20" s="1"/>
  <c r="F44" i="20"/>
  <c r="F57" i="20" s="1"/>
  <c r="E43" i="20"/>
  <c r="K42" i="20"/>
  <c r="E40" i="20"/>
  <c r="F39" i="20"/>
  <c r="L39" i="20" s="1"/>
  <c r="F38" i="20"/>
  <c r="L38" i="20" s="1"/>
  <c r="E37" i="20"/>
  <c r="K36" i="20"/>
  <c r="F34" i="20"/>
  <c r="K34" i="20" s="1"/>
  <c r="L33" i="20"/>
  <c r="K33" i="20"/>
  <c r="F32" i="20"/>
  <c r="F68" i="20" s="1"/>
  <c r="F31" i="20"/>
  <c r="K31" i="20" s="1"/>
  <c r="F30" i="20"/>
  <c r="L30" i="20" s="1"/>
  <c r="F29" i="20"/>
  <c r="L29" i="20" s="1"/>
  <c r="F28" i="20"/>
  <c r="L28" i="20" s="1"/>
  <c r="F27" i="20"/>
  <c r="K27" i="20" s="1"/>
  <c r="F26" i="20"/>
  <c r="L26" i="20" s="1"/>
  <c r="F25" i="20"/>
  <c r="F56" i="20" s="1"/>
  <c r="F24" i="20"/>
  <c r="K24" i="20" s="1"/>
  <c r="F23" i="20"/>
  <c r="L23" i="20" s="1"/>
  <c r="F22" i="20"/>
  <c r="L22" i="20" s="1"/>
  <c r="F21" i="20"/>
  <c r="K21" i="20" s="1"/>
  <c r="F20" i="20"/>
  <c r="L20" i="20" s="1"/>
  <c r="L18" i="20"/>
  <c r="K18" i="20"/>
  <c r="L17" i="20"/>
  <c r="F16" i="20"/>
  <c r="K16" i="20" s="1"/>
  <c r="K14" i="20"/>
  <c r="E13" i="20"/>
  <c r="F12" i="20"/>
  <c r="K12" i="20" s="1"/>
  <c r="I11" i="20"/>
  <c r="F11" i="20"/>
  <c r="L11" i="20" s="1"/>
  <c r="F10" i="20"/>
  <c r="K10" i="20" s="1"/>
  <c r="I9" i="20"/>
  <c r="I10" i="20" s="1"/>
  <c r="J10" i="20" s="1"/>
  <c r="F9" i="20"/>
  <c r="K9" i="20" s="1"/>
  <c r="F8" i="20"/>
  <c r="J11" i="20" s="1"/>
  <c r="J24" i="20" l="1"/>
  <c r="J26" i="20" s="1"/>
  <c r="K11" i="20"/>
  <c r="E54" i="20"/>
  <c r="E67" i="20" s="1"/>
  <c r="K28" i="20"/>
  <c r="K39" i="20"/>
  <c r="K26" i="20"/>
  <c r="K44" i="20"/>
  <c r="L48" i="20"/>
  <c r="E78" i="20"/>
  <c r="F40" i="20"/>
  <c r="K40" i="20" s="1"/>
  <c r="H78" i="20"/>
  <c r="H80" i="20"/>
  <c r="H82" i="20"/>
  <c r="L85" i="20"/>
  <c r="E81" i="20"/>
  <c r="E79" i="20"/>
  <c r="L101" i="20"/>
  <c r="H87" i="20"/>
  <c r="P87" i="20" s="1"/>
  <c r="E77" i="20"/>
  <c r="E80" i="20"/>
  <c r="E83" i="20"/>
  <c r="K57" i="20"/>
  <c r="E58" i="20"/>
  <c r="J17" i="20"/>
  <c r="L27" i="20"/>
  <c r="K25" i="20"/>
  <c r="K22" i="20"/>
  <c r="L16" i="20"/>
  <c r="L21" i="20"/>
  <c r="K17" i="20"/>
  <c r="K30" i="20"/>
  <c r="K32" i="20"/>
  <c r="L34" i="20"/>
  <c r="L45" i="20"/>
  <c r="K47" i="20"/>
  <c r="K49" i="20"/>
  <c r="K51" i="20"/>
  <c r="L10" i="20"/>
  <c r="K20" i="20"/>
  <c r="L24" i="20"/>
  <c r="L31" i="20"/>
  <c r="F15" i="20"/>
  <c r="F19" i="20" s="1"/>
  <c r="J9" i="20"/>
  <c r="K8" i="20"/>
  <c r="F58" i="20"/>
  <c r="K56" i="20"/>
  <c r="K68" i="20"/>
  <c r="L68" i="20"/>
  <c r="L57" i="20"/>
  <c r="L9" i="20"/>
  <c r="F43" i="20"/>
  <c r="K43" i="20" s="1"/>
  <c r="H84" i="20"/>
  <c r="F13" i="20"/>
  <c r="L13" i="20" s="1"/>
  <c r="K23" i="20"/>
  <c r="L25" i="20"/>
  <c r="K29" i="20"/>
  <c r="F37" i="20"/>
  <c r="F41" i="20" s="1"/>
  <c r="K38" i="20"/>
  <c r="L44" i="20"/>
  <c r="K50" i="20"/>
  <c r="K53" i="20"/>
  <c r="L56" i="20"/>
  <c r="F60" i="20"/>
  <c r="F61" i="20" s="1"/>
  <c r="N88" i="20"/>
  <c r="E61" i="20"/>
  <c r="E41" i="20"/>
  <c r="F69" i="20"/>
  <c r="F72" i="20"/>
  <c r="J18" i="20" s="1"/>
  <c r="H77" i="20"/>
  <c r="H79" i="20"/>
  <c r="H81" i="20"/>
  <c r="H83" i="20"/>
  <c r="H88" i="20"/>
  <c r="D89" i="20" s="1"/>
  <c r="F104" i="20"/>
  <c r="L104" i="20" s="1"/>
  <c r="L8" i="20"/>
  <c r="L32" i="20"/>
  <c r="E82" i="20"/>
  <c r="M85" i="20"/>
  <c r="F61" i="18"/>
  <c r="M54" i="20" l="1"/>
  <c r="K13" i="20"/>
  <c r="K58" i="20"/>
  <c r="L40" i="20"/>
  <c r="J19" i="20"/>
  <c r="L15" i="20"/>
  <c r="K37" i="20"/>
  <c r="P88" i="20"/>
  <c r="E85" i="20"/>
  <c r="L58" i="20"/>
  <c r="K60" i="20"/>
  <c r="K19" i="20"/>
  <c r="M19" i="20"/>
  <c r="L19" i="20"/>
  <c r="N19" i="20"/>
  <c r="F35" i="20"/>
  <c r="F66" i="20" s="1"/>
  <c r="K15" i="20"/>
  <c r="L61" i="20"/>
  <c r="K61" i="20"/>
  <c r="L89" i="20"/>
  <c r="H85" i="20"/>
  <c r="P89" i="20" s="1"/>
  <c r="K41" i="20"/>
  <c r="L41" i="20"/>
  <c r="G89" i="20"/>
  <c r="O89" i="20" s="1"/>
  <c r="F89" i="20"/>
  <c r="N89" i="20" s="1"/>
  <c r="E89" i="20"/>
  <c r="M89" i="20" s="1"/>
  <c r="L37" i="20"/>
  <c r="L60" i="20"/>
  <c r="K69" i="20"/>
  <c r="L69" i="20"/>
  <c r="L43" i="20"/>
  <c r="F54" i="20"/>
  <c r="D61" i="18"/>
  <c r="K35" i="20" l="1"/>
  <c r="E66" i="20"/>
  <c r="L66" i="20" s="1"/>
  <c r="N35" i="20"/>
  <c r="L35" i="20"/>
  <c r="M35" i="20"/>
  <c r="N54" i="20"/>
  <c r="F67" i="20"/>
  <c r="F73" i="20" s="1"/>
  <c r="N73" i="20" s="1"/>
  <c r="L54" i="20"/>
  <c r="K54" i="20"/>
  <c r="E73" i="20"/>
  <c r="M73" i="20" s="1"/>
  <c r="K66" i="20" l="1"/>
  <c r="L67" i="20"/>
  <c r="K67" i="20"/>
  <c r="H73" i="20"/>
  <c r="F75" i="20"/>
  <c r="K73" i="20"/>
  <c r="L73" i="20"/>
  <c r="E75" i="20"/>
  <c r="K75" i="20" l="1"/>
  <c r="I75" i="20"/>
  <c r="G73" i="20"/>
  <c r="G75" i="20" s="1"/>
  <c r="C49" i="18" l="1"/>
  <c r="I7" i="18" l="1"/>
  <c r="D28" i="18" l="1"/>
  <c r="D48" i="18"/>
  <c r="D43" i="18" l="1"/>
  <c r="D42" i="18" l="1"/>
  <c r="D18" i="18"/>
  <c r="D88" i="18" l="1"/>
  <c r="F75" i="18"/>
  <c r="E75" i="18"/>
  <c r="D75" i="18"/>
  <c r="C75" i="18"/>
  <c r="F74" i="18"/>
  <c r="E74" i="18"/>
  <c r="D74" i="18"/>
  <c r="C74" i="18"/>
  <c r="E72" i="18"/>
  <c r="E91" i="18" s="1"/>
  <c r="D72" i="18"/>
  <c r="B72" i="18"/>
  <c r="G74" i="18" s="1"/>
  <c r="D58" i="18"/>
  <c r="D57" i="18"/>
  <c r="F57" i="18" s="1"/>
  <c r="D52" i="18"/>
  <c r="C51" i="18"/>
  <c r="F48" i="18"/>
  <c r="F46" i="18"/>
  <c r="D46" i="18"/>
  <c r="F45" i="18"/>
  <c r="D45" i="18"/>
  <c r="F44" i="18"/>
  <c r="D44" i="18"/>
  <c r="F42" i="18"/>
  <c r="F52" i="18" s="1"/>
  <c r="C52" i="18"/>
  <c r="D37" i="18"/>
  <c r="F37" i="18" s="1"/>
  <c r="J38" i="18" s="1"/>
  <c r="D32" i="18"/>
  <c r="D31" i="18"/>
  <c r="F31" i="18" s="1"/>
  <c r="D30" i="18"/>
  <c r="F29" i="18"/>
  <c r="D29" i="18"/>
  <c r="F28" i="18"/>
  <c r="D27" i="18"/>
  <c r="F27" i="18" s="1"/>
  <c r="D26" i="18"/>
  <c r="F26" i="18" s="1"/>
  <c r="D25" i="18"/>
  <c r="D51" i="18" s="1"/>
  <c r="D24" i="18"/>
  <c r="F24" i="18" s="1"/>
  <c r="D23" i="18"/>
  <c r="F23" i="18" s="1"/>
  <c r="D22" i="18"/>
  <c r="F22" i="18" s="1"/>
  <c r="F21" i="18"/>
  <c r="D21" i="18"/>
  <c r="D20" i="18"/>
  <c r="F20" i="18" s="1"/>
  <c r="F18" i="18"/>
  <c r="F17" i="18"/>
  <c r="D12" i="18"/>
  <c r="F12" i="18" s="1"/>
  <c r="D11" i="18"/>
  <c r="F11" i="18" s="1"/>
  <c r="I10" i="18"/>
  <c r="I12" i="18" s="1"/>
  <c r="D10" i="18"/>
  <c r="F10" i="18" s="1"/>
  <c r="J9" i="18"/>
  <c r="D9" i="18"/>
  <c r="F9" i="18" s="1"/>
  <c r="J8" i="18"/>
  <c r="D59" i="18" l="1"/>
  <c r="J18" i="18"/>
  <c r="C19" i="18"/>
  <c r="C33" i="18" s="1"/>
  <c r="D16" i="18"/>
  <c r="F16" i="18" s="1"/>
  <c r="J23" i="18"/>
  <c r="J25" i="18" s="1"/>
  <c r="F58" i="18"/>
  <c r="D15" i="18"/>
  <c r="E88" i="18"/>
  <c r="J29" i="18"/>
  <c r="J30" i="18"/>
  <c r="C66" i="18"/>
  <c r="C69" i="18"/>
  <c r="C68" i="18"/>
  <c r="D53" i="18"/>
  <c r="J10" i="18"/>
  <c r="F65" i="18"/>
  <c r="F69" i="18"/>
  <c r="F71" i="18"/>
  <c r="F76" i="18" s="1"/>
  <c r="F67" i="18"/>
  <c r="C64" i="18"/>
  <c r="C67" i="18"/>
  <c r="C65" i="18"/>
  <c r="C70" i="18"/>
  <c r="C71" i="18"/>
  <c r="C53" i="18"/>
  <c r="J12" i="18"/>
  <c r="F25" i="18"/>
  <c r="F51" i="18" s="1"/>
  <c r="F53" i="18" s="1"/>
  <c r="F30" i="18"/>
  <c r="J17" i="18" s="1"/>
  <c r="D35" i="18"/>
  <c r="F43" i="18"/>
  <c r="F32" i="18"/>
  <c r="D38" i="18"/>
  <c r="F64" i="18"/>
  <c r="F66" i="18"/>
  <c r="F68" i="18"/>
  <c r="F70" i="18"/>
  <c r="G75" i="18"/>
  <c r="J19" i="18" l="1"/>
  <c r="D19" i="18"/>
  <c r="D33" i="18" s="1"/>
  <c r="D55" i="18" s="1"/>
  <c r="F15" i="18"/>
  <c r="C72" i="18"/>
  <c r="J31" i="18"/>
  <c r="D76" i="18"/>
  <c r="F38" i="18"/>
  <c r="J39" i="18" s="1"/>
  <c r="D39" i="18"/>
  <c r="F59" i="18"/>
  <c r="C13" i="18"/>
  <c r="D8" i="18"/>
  <c r="J7" i="18" s="1"/>
  <c r="E76" i="18"/>
  <c r="C76" i="18"/>
  <c r="F72" i="18"/>
  <c r="G76" i="18" s="1"/>
  <c r="F35" i="18"/>
  <c r="J36" i="18" s="1"/>
  <c r="F19" i="18" l="1"/>
  <c r="F39" i="18"/>
  <c r="J40" i="18" s="1"/>
  <c r="F8" i="18"/>
  <c r="D13" i="18"/>
  <c r="F13" i="18" s="1"/>
  <c r="F33" i="18" l="1"/>
  <c r="F55" i="18" l="1"/>
  <c r="J34" i="18"/>
  <c r="E144" i="4" l="1"/>
  <c r="D144" i="4"/>
  <c r="E143" i="4"/>
  <c r="D143" i="4"/>
  <c r="E142" i="4"/>
  <c r="D142" i="4"/>
  <c r="E141" i="4"/>
  <c r="D141" i="4"/>
  <c r="D140" i="4"/>
  <c r="E140" i="4"/>
  <c r="E139" i="4"/>
  <c r="D139" i="4"/>
  <c r="D138" i="4"/>
  <c r="E138" i="4"/>
  <c r="L66" i="2"/>
  <c r="L67" i="2"/>
  <c r="E132" i="4"/>
  <c r="D132" i="4"/>
  <c r="E131" i="4"/>
  <c r="D131" i="4"/>
  <c r="E130" i="4"/>
  <c r="D130" i="4"/>
  <c r="E129" i="4"/>
  <c r="D129" i="4"/>
  <c r="D127" i="4"/>
  <c r="E127" i="4"/>
  <c r="E126" i="4"/>
  <c r="D126" i="4"/>
  <c r="D125" i="4"/>
  <c r="E125" i="4"/>
  <c r="E124" i="4"/>
  <c r="D124" i="4"/>
  <c r="E123" i="4"/>
  <c r="D123" i="4"/>
  <c r="E122" i="4"/>
  <c r="D122" i="4"/>
  <c r="D121" i="4"/>
  <c r="E121" i="4"/>
  <c r="D120" i="4"/>
  <c r="E120" i="4"/>
  <c r="D119" i="4"/>
  <c r="E119" i="4"/>
  <c r="E118" i="4"/>
  <c r="D118" i="4"/>
  <c r="D117" i="4"/>
  <c r="E117" i="4"/>
  <c r="E116" i="4"/>
  <c r="D116" i="4"/>
  <c r="D115" i="4"/>
  <c r="E115" i="4"/>
  <c r="D114" i="4"/>
  <c r="E114" i="4"/>
  <c r="E113" i="4"/>
  <c r="D113" i="4"/>
  <c r="E112" i="4"/>
  <c r="D112" i="4"/>
  <c r="E111" i="4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E103" i="4"/>
  <c r="D103" i="4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5" i="4"/>
  <c r="D95" i="4"/>
  <c r="E94" i="4"/>
  <c r="D94" i="4"/>
  <c r="E93" i="4"/>
  <c r="D93" i="4"/>
  <c r="E92" i="4"/>
  <c r="D92" i="4"/>
  <c r="E91" i="4"/>
  <c r="D91" i="4"/>
  <c r="E90" i="4"/>
  <c r="D90" i="4"/>
  <c r="E89" i="4"/>
  <c r="D89" i="4"/>
  <c r="E88" i="4"/>
  <c r="D88" i="4"/>
  <c r="D87" i="4"/>
  <c r="E79" i="4"/>
  <c r="D79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L68" i="2" l="1"/>
  <c r="D36" i="18"/>
  <c r="F36" i="18" l="1"/>
  <c r="J37" i="18" s="1"/>
  <c r="D41" i="18"/>
  <c r="F41" i="18" l="1"/>
  <c r="D47" i="18"/>
  <c r="D49" i="18" s="1"/>
  <c r="D56" i="18" s="1"/>
  <c r="D60" i="18" s="1"/>
  <c r="D62" i="18" s="1"/>
  <c r="C60" i="18" l="1"/>
  <c r="C62" i="18" s="1"/>
  <c r="F47" i="18"/>
  <c r="F49" i="18" s="1"/>
  <c r="F56" i="18" l="1"/>
  <c r="F60" i="18" l="1"/>
  <c r="F62" i="18" s="1"/>
  <c r="M54" i="21" l="1"/>
  <c r="J51" i="21" l="1"/>
  <c r="K51" i="21"/>
  <c r="D54" i="21"/>
  <c r="J54" i="21" l="1"/>
  <c r="D67" i="21"/>
  <c r="K54" i="21"/>
  <c r="L54" i="21"/>
  <c r="D74" i="21" l="1"/>
  <c r="L74" i="21" s="1"/>
  <c r="J67" i="21"/>
  <c r="K67" i="21"/>
  <c r="D76" i="21" l="1"/>
  <c r="K74" i="21"/>
  <c r="J74" i="21"/>
  <c r="E76" i="21" l="1"/>
  <c r="J75" i="21"/>
  <c r="J76" i="21" l="1"/>
  <c r="H89" i="21" l="1"/>
  <c r="D87" i="21"/>
  <c r="H90" i="21" s="1"/>
  <c r="G87" i="21"/>
  <c r="O91" i="21" s="1"/>
  <c r="F53" i="23" l="1"/>
  <c r="K47" i="23"/>
  <c r="C48" i="23"/>
  <c r="K48" i="23" s="1"/>
  <c r="K46" i="23"/>
  <c r="C53" i="23"/>
  <c r="K53" i="23" l="1"/>
  <c r="L53" i="23"/>
  <c r="F43" i="23"/>
  <c r="F54" i="23" s="1"/>
  <c r="D54" i="23"/>
  <c r="L43" i="23"/>
  <c r="F61" i="23" l="1"/>
  <c r="F67" i="23" s="1"/>
  <c r="I30" i="24"/>
  <c r="K43" i="23"/>
  <c r="C38" i="23"/>
  <c r="C54" i="23"/>
  <c r="K54" i="23" s="1"/>
  <c r="F69" i="23" l="1"/>
  <c r="I69" i="23" s="1"/>
  <c r="C40" i="23"/>
  <c r="K38" i="23"/>
  <c r="C61" i="23"/>
  <c r="C67" i="23" s="1"/>
  <c r="K61" i="23" l="1"/>
  <c r="D61" i="23"/>
  <c r="D67" i="23" s="1"/>
  <c r="D69" i="23" s="1"/>
  <c r="C41" i="23"/>
  <c r="D41" i="23" s="1"/>
  <c r="F41" i="23" s="1"/>
  <c r="K41" i="23" s="1"/>
  <c r="D40" i="23"/>
  <c r="F40" i="23" s="1"/>
  <c r="K40" i="23" s="1"/>
  <c r="C69" i="23"/>
  <c r="K67" i="23"/>
  <c r="K69" i="23" l="1"/>
  <c r="D48" i="2"/>
  <c r="D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tc={D137518E-4E68-4A89-A252-50A82C4B4C0C}</author>
    <author>tc={6880566E-59E2-49A2-B00D-7D310978F0DD}</author>
    <author>tc={401CA44C-CF07-428F-8C12-72E23E6B48BC}</author>
  </authors>
  <commentList>
    <comment ref="I36" authorId="0" shapeId="0" xr:uid="{D137518E-4E68-4A89-A252-50A82C4B4C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F3 de aplicado pesos</t>
      </text>
    </comment>
    <comment ref="I37" authorId="1" shapeId="0" xr:uid="{6880566E-59E2-49A2-B00D-7D310978F0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AQ3 de aplicado pesos</t>
      </text>
    </comment>
    <comment ref="I40" authorId="2" shapeId="0" xr:uid="{401CA44C-CF07-428F-8C12-72E23E6B48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G3 de aplicado pesos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<sst xmlns="http://schemas.openxmlformats.org/spreadsheetml/2006/main" count="5277" uniqueCount="1399">
  <si>
    <t>"IMPORTES EN UDIS"</t>
  </si>
  <si>
    <t>Cobranza de Cartera Vencida (Proceso Adjudicación)</t>
  </si>
  <si>
    <t>UDIS</t>
  </si>
  <si>
    <t>Producto bruto de liquidación</t>
  </si>
  <si>
    <t>Gastos de Cobranza</t>
  </si>
  <si>
    <t>Producto Neto de Liquidación</t>
  </si>
  <si>
    <t>Total Cobrado y Depositado en Cuenta de Cobranza</t>
  </si>
  <si>
    <t>Pagos de Principal Programados</t>
  </si>
  <si>
    <t>Pre-pagos de Principal</t>
  </si>
  <si>
    <t>Principal Producto Neto de Liquidaciones</t>
  </si>
  <si>
    <t>Monto Total de Pagos de Principal</t>
  </si>
  <si>
    <t>Intereses Ordinarios</t>
  </si>
  <si>
    <t>Intereses Moratorios</t>
  </si>
  <si>
    <t>Comisión por Administración</t>
  </si>
  <si>
    <t>Penalización por Prepagos</t>
  </si>
  <si>
    <t>Prima de Cobertura Swap SHF Cobrada en Periodo</t>
  </si>
  <si>
    <t>Seguro de Vida</t>
  </si>
  <si>
    <t>Seguro de Daños y Contenidos (+ IVA)</t>
  </si>
  <si>
    <t>Excedentes en Liquidación</t>
  </si>
  <si>
    <t>Cargo por Cobranza</t>
  </si>
  <si>
    <t>Cuota de Mantenimiento</t>
  </si>
  <si>
    <t>Cuota de Conservación</t>
  </si>
  <si>
    <t>Montos Recibidos por Aplicar</t>
  </si>
  <si>
    <t>Saldo a Favor SHF</t>
  </si>
  <si>
    <t>TOTAL DEPOSITADO CUENTA DE COBRANZA (FIDUCIARIO)</t>
  </si>
  <si>
    <t>MXMACCB 05U</t>
  </si>
  <si>
    <t>A) EVENTOS RELEVANTES DEL PORTAFOLIO</t>
  </si>
  <si>
    <t xml:space="preserve"> PREPAGOS VOLUNTARIOS (PARCIAL O TOTAL)</t>
  </si>
  <si>
    <t>Monto de Principal de Créditos Hipotecarios de Créditos Vigentes</t>
  </si>
  <si>
    <t>%</t>
  </si>
  <si>
    <t>CPR</t>
  </si>
  <si>
    <t>MES</t>
  </si>
  <si>
    <t>1-Agosto</t>
  </si>
  <si>
    <t>1-Septiembre</t>
  </si>
  <si>
    <t>1-Octubre</t>
  </si>
  <si>
    <t>1-Noviembre</t>
  </si>
  <si>
    <t>1-Diciembre</t>
  </si>
  <si>
    <t>1-Enero</t>
  </si>
  <si>
    <t>1-Febrero</t>
  </si>
  <si>
    <t>1-Marzo</t>
  </si>
  <si>
    <t>1-Abril</t>
  </si>
  <si>
    <t>1-Mayo</t>
  </si>
  <si>
    <t>1-Junio</t>
  </si>
  <si>
    <t>1-Julio</t>
  </si>
  <si>
    <t>31-Julio</t>
  </si>
  <si>
    <t>31-Agosto</t>
  </si>
  <si>
    <t>30-Septiembre</t>
  </si>
  <si>
    <t>31-Octubre</t>
  </si>
  <si>
    <t>30-Noviembre</t>
  </si>
  <si>
    <t>31-Diciembre</t>
  </si>
  <si>
    <t>31-Enero</t>
  </si>
  <si>
    <t>28-Febrero</t>
  </si>
  <si>
    <t>31-Marzo</t>
  </si>
  <si>
    <t>30-Abril</t>
  </si>
  <si>
    <t>31-Mayo</t>
  </si>
  <si>
    <t>30-Junio</t>
  </si>
  <si>
    <t>29-Febrero</t>
  </si>
  <si>
    <t>ADMINISTRADOR</t>
  </si>
  <si>
    <t>ORIGINADOR</t>
  </si>
  <si>
    <t>JUZGADO</t>
  </si>
  <si>
    <t>Pesos</t>
  </si>
  <si>
    <t>2</t>
  </si>
  <si>
    <t>3</t>
  </si>
  <si>
    <t>4</t>
  </si>
  <si>
    <t>5</t>
  </si>
  <si>
    <t>7</t>
  </si>
  <si>
    <t>8</t>
  </si>
  <si>
    <t>11</t>
  </si>
  <si>
    <t>45</t>
  </si>
  <si>
    <t>Quitas y Reversos de Capital</t>
  </si>
  <si>
    <t>Saldo Inicial Anterior</t>
  </si>
  <si>
    <t>PESOS</t>
  </si>
  <si>
    <t>Sociedad</t>
  </si>
  <si>
    <t>ContratoidAnt</t>
  </si>
  <si>
    <t>ContratoidNvo</t>
  </si>
  <si>
    <t>Fondeador</t>
  </si>
  <si>
    <t>Tipo Reestructura</t>
  </si>
  <si>
    <t>Reportada</t>
  </si>
  <si>
    <t>Firma</t>
  </si>
  <si>
    <t>Monto Credito Anterior</t>
  </si>
  <si>
    <t xml:space="preserve"> Saldo Insoluto </t>
  </si>
  <si>
    <t xml:space="preserve"> Monto Credito </t>
  </si>
  <si>
    <t xml:space="preserve"> Adeudo Total </t>
  </si>
  <si>
    <t xml:space="preserve"> Adeudo Vencido </t>
  </si>
  <si>
    <t>PT10</t>
  </si>
  <si>
    <t>F/00196</t>
  </si>
  <si>
    <t>Seguros y Comisiones pendientes de reemblso</t>
  </si>
  <si>
    <t>Gastos Legales y de Cobranza</t>
  </si>
  <si>
    <t>IVA</t>
  </si>
  <si>
    <t>PRESCRIPCION</t>
  </si>
  <si>
    <t>Bonificaciones</t>
  </si>
  <si>
    <t>CLASIFICACION</t>
  </si>
  <si>
    <t>(-) Montos Aplicados Identificados en Periodos Anteriores</t>
  </si>
  <si>
    <t>RESUMEN DE SALDOS A FAVOR</t>
  </si>
  <si>
    <t>(=) Saldo Final de Excedentes en Liquidación</t>
  </si>
  <si>
    <t>RESUMEN DE EXCEDENTES EN LIQUIDACIÓN</t>
  </si>
  <si>
    <t xml:space="preserve">  </t>
  </si>
  <si>
    <t>FIDEICOMISO 196 / TRUST 196</t>
  </si>
  <si>
    <t>RESUMEN DE SALDOS</t>
  </si>
  <si>
    <t/>
  </si>
  <si>
    <t>UDIs</t>
  </si>
  <si>
    <t>Total</t>
  </si>
  <si>
    <t xml:space="preserve">Cotización UDI / UDI Value: </t>
  </si>
  <si>
    <t>Resumen del Portafolio / Portfolio Summary</t>
  </si>
  <si>
    <t>Saldo Inicial de los Créditos Hipotecarios / Beginning Balance</t>
  </si>
  <si>
    <t>Activacion Adjudicado</t>
  </si>
  <si>
    <t>Pagos de Principal Programados / Scheduled Principal Payments</t>
  </si>
  <si>
    <t>Ajuste de Migración</t>
  </si>
  <si>
    <t>Pre-pagos de Principal / Prepayments</t>
  </si>
  <si>
    <t>Saldo Inicial Antes Reestr</t>
  </si>
  <si>
    <t>Inmuebles Recuperados / Real Estate Owned (REO´s)</t>
  </si>
  <si>
    <t>Reestructuras Periodo</t>
  </si>
  <si>
    <t>Reverso de Capital</t>
  </si>
  <si>
    <t>Saldo Inicial desp Reest.</t>
  </si>
  <si>
    <t>Saldo Final de los Créditos Hipotecarios / Ending Balance</t>
  </si>
  <si>
    <t>Total de Depósitos del Periodo / Total Deposits of the period</t>
  </si>
  <si>
    <t>Pagos de Principal Programados / Scheduled Principal</t>
  </si>
  <si>
    <t>Saldo Inicial de Montos a Favor</t>
  </si>
  <si>
    <t>(+) Montos Identificados no Aplicados del Periodo</t>
  </si>
  <si>
    <t>Principal Producto Neto de Liquidaciones / Profit from Sale of REO´s</t>
  </si>
  <si>
    <t>Quitas</t>
  </si>
  <si>
    <t>(=) Saldo Final de Montos a Favor</t>
  </si>
  <si>
    <t>Monto Total de Pagos de Principal / Total Principal</t>
  </si>
  <si>
    <t>Intereses Ordinarios / Scheduled Interest</t>
  </si>
  <si>
    <t>Intereses Moratorios / Past due Interest</t>
  </si>
  <si>
    <t>Saldo Inicial de Excedentes en Liquidación</t>
  </si>
  <si>
    <t>Comisión por Administración / Servicing Fee</t>
  </si>
  <si>
    <t>(+) Excedentes en Liquidación del Periodo</t>
  </si>
  <si>
    <t>Penalización por Prepagos / Penalty for Prepayment</t>
  </si>
  <si>
    <t>(-) Excedentes en Liquidación Pagados en el Periodo</t>
  </si>
  <si>
    <t>Prima de Cobertura Swap SHF Cobrada en Periodo / Swap Premium</t>
  </si>
  <si>
    <t>Seguro de vida aplicado / Life Insurance</t>
  </si>
  <si>
    <t>Excedentes en Liquidación / Excess cash flow paid by the borrower</t>
  </si>
  <si>
    <t>Cargo por Cobranza / Collection Costs</t>
  </si>
  <si>
    <t>Cuota de Mantenimiento / Maintenance Fee</t>
  </si>
  <si>
    <t>Cuota de Conservación / Conservation Fee</t>
  </si>
  <si>
    <t>Montos Recibidos por Aplicar / Amounts pending to be applied</t>
  </si>
  <si>
    <t>Montos Aplicados Identificados en Periodos Anteriores</t>
  </si>
  <si>
    <t>Total de Depósitos del Periodo / Total Deposits of the Period</t>
  </si>
  <si>
    <t>Operación de Cobertura de SHF / SHF Coverage</t>
  </si>
  <si>
    <t>Prima de Cobertura Swap SHF Cobrada en Periodo / Swap Premium Collected</t>
  </si>
  <si>
    <t>Cobertura Total a Pagar SHF / Premium to be paid to Swap Provider (SHF)</t>
  </si>
  <si>
    <t>Ejercicio de cobertura SHF apl / Swap Exercised</t>
  </si>
  <si>
    <t>Saldo a Favor SHF / Balance in favor of SHF</t>
  </si>
  <si>
    <t>Saldo a Favor Fideicomiso / Balance in favor of Trust</t>
  </si>
  <si>
    <t>Cargos del Periodo / Period expenses</t>
  </si>
  <si>
    <t>Saldo a Favor SHF / Balance on behalf of SHF</t>
  </si>
  <si>
    <t>Monto de seguros pagados / Insurances Paid</t>
  </si>
  <si>
    <t>Comision por Administración Pagada / Servicing Fee Paid</t>
  </si>
  <si>
    <t>Gastos de Cobranza / Collection Expenses</t>
  </si>
  <si>
    <t>GPI Pagada / MI Paid</t>
  </si>
  <si>
    <t xml:space="preserve">Total de Cargos del Periodo / Total Expenses of the Period </t>
  </si>
  <si>
    <t>Seguros / Insurance</t>
  </si>
  <si>
    <t>Monto de seguros cobrados / Insurances Collected</t>
  </si>
  <si>
    <t>Monto total de seguros / Net Insurance Amount</t>
  </si>
  <si>
    <t>Resumen Cuenta General / General Account Summary</t>
  </si>
  <si>
    <t>Total Cargos del periodo / Total Expenses of the Period</t>
  </si>
  <si>
    <t>Disponible a transferir al Fideicomiso / Available to be distributed by the Trust</t>
  </si>
  <si>
    <t>Estatus de la Cartera de Créditos Hipotecarios / Portfolio Status</t>
  </si>
  <si>
    <t>No. de Créditos / Loans #</t>
  </si>
  <si>
    <t>Porcentaje de Créditos / Loans %</t>
  </si>
  <si>
    <t>Saldo Inicial de Principal de los Créditos / Beginning Balance</t>
  </si>
  <si>
    <t>Saldo Final de Principal de los Créditos / Ending Balance</t>
  </si>
  <si>
    <t>Porcentaje del Portafolio / Portfolio %</t>
  </si>
  <si>
    <t>Al Corriente / Current</t>
  </si>
  <si>
    <t>De 1 a 30 días / From 1 to 30 days</t>
  </si>
  <si>
    <t>De 31 a 60 días / From 31 to 60 days</t>
  </si>
  <si>
    <t>De 61 a 90 días / From 61 to 90 days</t>
  </si>
  <si>
    <t>De 91 a 120 días / From 91 to 120 days</t>
  </si>
  <si>
    <t>De 121 a 150 días / From 121 to 150 days</t>
  </si>
  <si>
    <t>De 151 a 180 días / From 151 to 180 days</t>
  </si>
  <si>
    <t>Más de 180 días / More than 180 days</t>
  </si>
  <si>
    <t>Cartera Vigente Hasta 90 días / Performing Loans until 90 days</t>
  </si>
  <si>
    <t>Cartera Vencida (+ de 90 días) / Non Performing Loans (+90 days)</t>
  </si>
  <si>
    <t>Cartera Vigente Hasta 180 días / Performing Loans until 180 days</t>
  </si>
  <si>
    <t>Cartera Vencida (+ de 180 días) / Non Performing Loans (+ 180 days)</t>
  </si>
  <si>
    <t>Total de Cartera / Total Portfolio</t>
  </si>
  <si>
    <t>Inmuebles Recuperados / REO´s</t>
  </si>
  <si>
    <t>Número de Créditos / Number of Loans</t>
  </si>
  <si>
    <t>Saldo Insoluto de Principal / Outstanding Principal Balance</t>
  </si>
  <si>
    <t>Porcentaje del total de cartera / % of Total Portfolio</t>
  </si>
  <si>
    <t>Interes No Cubiertos / Interest Receivable</t>
  </si>
  <si>
    <t>Montos Recibidos por Aplicar / Amounts pending to be apply</t>
  </si>
  <si>
    <t>Saldo de Comisiones y Seguros no cubiertos / Fees &amp; Insurances Receivable</t>
  </si>
  <si>
    <t>No. de Crédito / Loans #</t>
  </si>
  <si>
    <t>Saldo Insoluto / Outstanding Balance</t>
  </si>
  <si>
    <t>Proceso judicial / Foreclosure process</t>
  </si>
  <si>
    <t>Créditos Mes Pasado en Portafolio / Beginning Loans</t>
  </si>
  <si>
    <t>Créditos Pre-pagados en el Periodo / Prepaid Loans</t>
  </si>
  <si>
    <t>Créditos Añadidos al Portafolio / Additional Loans Assigned</t>
  </si>
  <si>
    <t>Créditos Eliminados (Pagados por Originador) / Non Elegible Loans/ Restructures)</t>
  </si>
  <si>
    <t>Créditos Actuales en el Portafolio / Current Loans</t>
  </si>
  <si>
    <t>Monto / Balance</t>
  </si>
  <si>
    <t>Pérdidas o Ganancias Acumuladas / Earnings and Losses Accumulated</t>
  </si>
  <si>
    <t>Patrimonio Total de Fideicomiso (UDIs) / Total Pledge in Trust (UDIs)</t>
  </si>
  <si>
    <t>Miguel Angel Almaguer Rivera</t>
  </si>
  <si>
    <t>Cantidad Desembolsada por el IFC</t>
  </si>
  <si>
    <t>Flujo Disponible para Distribuir</t>
  </si>
  <si>
    <t>Director de Administración Maestra</t>
  </si>
  <si>
    <t>Gerente de Administración Maestra</t>
  </si>
  <si>
    <t>Mabel Sánchez Gómez</t>
  </si>
  <si>
    <t>0</t>
  </si>
  <si>
    <t xml:space="preserve"> </t>
  </si>
  <si>
    <t>(+) Desliz UDI</t>
  </si>
  <si>
    <t>mas: Montos Aplicados Identificados en Periodos Anteriores</t>
  </si>
  <si>
    <t>21</t>
  </si>
  <si>
    <t>10</t>
  </si>
  <si>
    <t>9</t>
  </si>
  <si>
    <t>15</t>
  </si>
  <si>
    <t>6</t>
  </si>
  <si>
    <t>13</t>
  </si>
  <si>
    <t>18</t>
  </si>
  <si>
    <t>16</t>
  </si>
  <si>
    <t>14</t>
  </si>
  <si>
    <t>12</t>
  </si>
  <si>
    <t>19</t>
  </si>
  <si>
    <t>REPORTE DE COBRANZA CONSOLIDADO DEL 01 DE DICIEMBRE  AL 31 DE  DICIEMBRE  DE 2018</t>
  </si>
  <si>
    <t>COLLECTION REPORT CONSOLIDATED FROM  DECEMBER 1ST TO DECEMBER 31, 2018</t>
  </si>
  <si>
    <t>Cotización UDI:</t>
  </si>
  <si>
    <t>VALIDACIÓN</t>
  </si>
  <si>
    <t>Resumen del Portafolio</t>
  </si>
  <si>
    <t>RESUMEN REESTRUCTURAS</t>
  </si>
  <si>
    <t>1</t>
  </si>
  <si>
    <t>Saldo Inicial de los Créditos Hipotecarios</t>
  </si>
  <si>
    <t>Inmuebles Recuperados</t>
  </si>
  <si>
    <t>Saldo Incial Desp. Reest.</t>
  </si>
  <si>
    <t>Ajuste de Capital</t>
  </si>
  <si>
    <t>Saldo Final de los Créditos Hipotecarios</t>
  </si>
  <si>
    <t>Total de Depósitos del Periodo</t>
  </si>
  <si>
    <t>Saldo inicial de montos a favor</t>
  </si>
  <si>
    <t>(+) Monto Identificados No Aplicados del periodo</t>
  </si>
  <si>
    <t>(=) Monto Final de Saldos a Favor</t>
  </si>
  <si>
    <t>Saldo inicial de Excedentes en Liquidación</t>
  </si>
  <si>
    <t>(+) Excedentes en liquidación del periodo</t>
  </si>
  <si>
    <t>(-) Exc. en liquidación Pagados en el Periodo</t>
  </si>
  <si>
    <t>Seguro de Daños y Contenidos</t>
  </si>
  <si>
    <t>17</t>
  </si>
  <si>
    <t>Seguro de Desempleo</t>
  </si>
  <si>
    <t>20</t>
  </si>
  <si>
    <t>22</t>
  </si>
  <si>
    <t>Montos Aplicados en Periodos Anteriores</t>
  </si>
  <si>
    <t>23</t>
  </si>
  <si>
    <t>Operación de Cobertura de SHF</t>
  </si>
  <si>
    <t>24</t>
  </si>
  <si>
    <t>25</t>
  </si>
  <si>
    <t>Cobertura Total a Pagar SHF</t>
  </si>
  <si>
    <t>26</t>
  </si>
  <si>
    <t>Ejercicio de cobertura SHF apl</t>
  </si>
  <si>
    <t>27</t>
  </si>
  <si>
    <t>28</t>
  </si>
  <si>
    <t>Saldo a Favor Fideicomiso</t>
  </si>
  <si>
    <t>Cargos del Periodo</t>
  </si>
  <si>
    <t>29</t>
  </si>
  <si>
    <t>30</t>
  </si>
  <si>
    <t>Seguro de vida pagado</t>
  </si>
  <si>
    <t>31</t>
  </si>
  <si>
    <t>Seguro de Daños y Contenidos pagados</t>
  </si>
  <si>
    <t>32</t>
  </si>
  <si>
    <t>Seguro de Desempleo pagado</t>
  </si>
  <si>
    <t>33</t>
  </si>
  <si>
    <t>Comision por Administración Pagada</t>
  </si>
  <si>
    <t>34</t>
  </si>
  <si>
    <t>35</t>
  </si>
  <si>
    <t>Cuota Mantenimiento</t>
  </si>
  <si>
    <t>36</t>
  </si>
  <si>
    <t>Cuota Conservacion</t>
  </si>
  <si>
    <t>Seguros y Comisiones pendientes de reembolso</t>
  </si>
  <si>
    <t>37</t>
  </si>
  <si>
    <t>GPI Pagada</t>
  </si>
  <si>
    <t>38</t>
  </si>
  <si>
    <t>Total de Cargos del Periodo</t>
  </si>
  <si>
    <t>Seguros</t>
  </si>
  <si>
    <t>39</t>
  </si>
  <si>
    <t>Seguro de vida cobrado</t>
  </si>
  <si>
    <t>40</t>
  </si>
  <si>
    <t>41</t>
  </si>
  <si>
    <t>Saldo seguro de vida</t>
  </si>
  <si>
    <t>42</t>
  </si>
  <si>
    <t>Seguro de daños cobrado</t>
  </si>
  <si>
    <t>43</t>
  </si>
  <si>
    <t>Seguro de daños pagado</t>
  </si>
  <si>
    <t>44</t>
  </si>
  <si>
    <t>Saldo seguro de daños</t>
  </si>
  <si>
    <t>Seguro de desempleo cobrado</t>
  </si>
  <si>
    <t>46</t>
  </si>
  <si>
    <t>Seguro de desempleo pagado</t>
  </si>
  <si>
    <t>47</t>
  </si>
  <si>
    <t>Saldo seguro de desempleo</t>
  </si>
  <si>
    <t>Resumen Cuenta General</t>
  </si>
  <si>
    <t>Flujo Real UDIs</t>
  </si>
  <si>
    <t>Flujo Real Pesos</t>
  </si>
  <si>
    <t>48</t>
  </si>
  <si>
    <t>49</t>
  </si>
  <si>
    <t>Total Cargos del periodo</t>
  </si>
  <si>
    <t>50</t>
  </si>
  <si>
    <t>51</t>
  </si>
  <si>
    <t>52</t>
  </si>
  <si>
    <t>Ejercicio de Swap SHF por Aplicar</t>
  </si>
  <si>
    <t>53</t>
  </si>
  <si>
    <t>Saldo Positivo Negativo Seguros</t>
  </si>
  <si>
    <t>54</t>
  </si>
  <si>
    <t>Disponible a transferir al Fideicomiso</t>
  </si>
  <si>
    <t>.</t>
  </si>
  <si>
    <t>Estatus de la Cartera de Créditos Hipotecarios</t>
  </si>
  <si>
    <t>No. de Créditos</t>
  </si>
  <si>
    <t>Porcentaje de Créditos</t>
  </si>
  <si>
    <t>Saldo Inicial de Principal de los Créditos</t>
  </si>
  <si>
    <t>Saldo Final de Principal de los Créditos</t>
  </si>
  <si>
    <t>Porcentaje del Portafolio</t>
  </si>
  <si>
    <t>Al Corriente</t>
  </si>
  <si>
    <t>De 1 a 30 días</t>
  </si>
  <si>
    <t>De 31 a 60 días</t>
  </si>
  <si>
    <t>De 61 a 90 días</t>
  </si>
  <si>
    <t>De 91 a 120 días</t>
  </si>
  <si>
    <t>De 121 a 150 días</t>
  </si>
  <si>
    <t>De 151 a 180 días</t>
  </si>
  <si>
    <t>Más de 180 días</t>
  </si>
  <si>
    <t>63</t>
  </si>
  <si>
    <t>TOTALES</t>
  </si>
  <si>
    <t>Cartera Vigente Hasta 90 días</t>
  </si>
  <si>
    <t>Cartera Vencida (+ de 90 días)</t>
  </si>
  <si>
    <t>Cartera Vigente Hasta 180 días</t>
  </si>
  <si>
    <t>Cartera Vencida (+ de 180 días)</t>
  </si>
  <si>
    <t>Total de Cartera</t>
  </si>
  <si>
    <t>64</t>
  </si>
  <si>
    <t>Número de Créditos</t>
  </si>
  <si>
    <t>65</t>
  </si>
  <si>
    <t>Saldo Insoluto de Principal</t>
  </si>
  <si>
    <t>66</t>
  </si>
  <si>
    <t>Porcentaje del total de cartera</t>
  </si>
  <si>
    <t>67</t>
  </si>
  <si>
    <t>Interes No Cubiertos</t>
  </si>
  <si>
    <t>68</t>
  </si>
  <si>
    <t>69</t>
  </si>
  <si>
    <t>Saldo de Comisiones y Seguros no cubiertos</t>
  </si>
  <si>
    <t>No. de Crédito</t>
  </si>
  <si>
    <t>Saldo Insoluto</t>
  </si>
  <si>
    <t>70</t>
  </si>
  <si>
    <t>Proceso Judicial</t>
  </si>
  <si>
    <t>71</t>
  </si>
  <si>
    <t>Créditos Mes Pasado en Portafolio</t>
  </si>
  <si>
    <t>72</t>
  </si>
  <si>
    <t>Créditos Pre-pagados en el Periodo</t>
  </si>
  <si>
    <t>73</t>
  </si>
  <si>
    <t>74</t>
  </si>
  <si>
    <t>Créditos Añadidos al Portafolio</t>
  </si>
  <si>
    <t>75</t>
  </si>
  <si>
    <t>Créditos Eliminados (Pagados por Originador)</t>
  </si>
  <si>
    <t>76</t>
  </si>
  <si>
    <t>Créditos Actuales en el Portafolio</t>
  </si>
  <si>
    <t>Monto</t>
  </si>
  <si>
    <t>77</t>
  </si>
  <si>
    <t>Pérdidas o Ganancias Acumuladas</t>
  </si>
  <si>
    <t>78</t>
  </si>
  <si>
    <t>Patrimonio Total de Fideicomiso (UDIs)</t>
  </si>
  <si>
    <t>Mabel Sanchez Gómez                                                         Gerente Administración Maestra</t>
  </si>
  <si>
    <t>Miguel Angel Almaguer Rivera                                                                                                                             Director Administración Maestra</t>
  </si>
  <si>
    <t>Saldo Inicial Ant Reest</t>
  </si>
  <si>
    <t>REPORTE DE COBRANZA DEL 01 AL 31 DE ENERO DE 2019</t>
  </si>
  <si>
    <t>8.1</t>
  </si>
  <si>
    <t>Seguro de Vida Aplicado</t>
  </si>
  <si>
    <t>Seguro de vida  cobrado</t>
  </si>
  <si>
    <t>Seguro de vida  pagado</t>
  </si>
  <si>
    <t>Saldo Seguro de Vida</t>
  </si>
  <si>
    <t>Seguro de Daños Cobrado</t>
  </si>
  <si>
    <t>Seguro de Daños pagado</t>
  </si>
  <si>
    <t>Saldo Seguro de Daños</t>
  </si>
  <si>
    <t>CAUSA ATRASO</t>
  </si>
  <si>
    <t>GESTION REALIZADA</t>
  </si>
  <si>
    <t>ESTADO VIVIENDA</t>
  </si>
  <si>
    <t>CAUSA NO DEMANDA</t>
  </si>
  <si>
    <t>DESPACHO RESPONSABLE</t>
  </si>
  <si>
    <t>TIPO DE JUICIO</t>
  </si>
  <si>
    <t>NO. EXPEDIENTE</t>
  </si>
  <si>
    <t>JURISDICCIÓN</t>
  </si>
  <si>
    <t>PRESENTACIÓN DEMANDA</t>
  </si>
  <si>
    <t>MACRO ETAPA</t>
  </si>
  <si>
    <t>APLICACION COBRANZA</t>
  </si>
  <si>
    <t>FIDEICOMISO</t>
  </si>
  <si>
    <t>Total de Aplicaciones del Periodo</t>
  </si>
  <si>
    <t>REESTRUCTURAS MARZO ´17</t>
  </si>
  <si>
    <t>REESTRUCTURAS SEPTIEMBRE '16</t>
  </si>
  <si>
    <t>REESTRUCTURAS OCTUBRE '16</t>
  </si>
  <si>
    <t>REESTRUCTURAS ENERO '17</t>
  </si>
  <si>
    <t>REESTRUCTURAS AGOSTO '16</t>
  </si>
  <si>
    <t>REESTRUCTURAS JUNIO '16</t>
  </si>
  <si>
    <t>CRÉDITO</t>
  </si>
  <si>
    <t>56</t>
  </si>
  <si>
    <t>38.1</t>
  </si>
  <si>
    <t>55</t>
  </si>
  <si>
    <t>Recuperación GPI</t>
  </si>
  <si>
    <t>REPORTE DE COBRANZA CONSOLIDADO DEL 01 DE JUNIO AL 30 DE JUNIO DE 2019</t>
  </si>
  <si>
    <t>COLLECTION REPORT CONSILIDATED FROM JUNE 1FT TO 30 JUNE, 2019</t>
  </si>
  <si>
    <t>Reestructuras Pesos</t>
  </si>
  <si>
    <t>Total de Aplicaciones del Periodo / Total Applications of the period</t>
  </si>
  <si>
    <t>Pago de Capital Diferido</t>
  </si>
  <si>
    <t>Monto Total de Aplicaciones de Principal / Total Principal</t>
  </si>
  <si>
    <t>menos: Bonificaciones/Bonuses</t>
  </si>
  <si>
    <t>menos: Montos aplicados identificados en periodos ant./Applied Amounts Identified In Previous Periods</t>
  </si>
  <si>
    <t>Total de Aplicaciones del Periodo / Total Applications of the Period</t>
  </si>
  <si>
    <t>Gerente Administración Maestra</t>
  </si>
  <si>
    <t># FACTURA</t>
  </si>
  <si>
    <t>Montos aplicados identificados en periodos ant.</t>
  </si>
  <si>
    <t>CREDITO</t>
  </si>
  <si>
    <t>ULTIMA ETAPA PROCESAL</t>
  </si>
  <si>
    <t>AÑO</t>
  </si>
  <si>
    <t>MXMACCB 05U -FIDEICOMISO 196 / TRUST 196</t>
  </si>
  <si>
    <t>Concepto</t>
  </si>
  <si>
    <t>Administrador</t>
  </si>
  <si>
    <t>Monto en Udis</t>
  </si>
  <si>
    <t>Valor UDI a la Fecha de Pago</t>
  </si>
  <si>
    <t>Monto en Pesos</t>
  </si>
  <si>
    <t xml:space="preserve">Gastos Cobranza </t>
  </si>
  <si>
    <t>Patrimonio</t>
  </si>
  <si>
    <t xml:space="preserve">TOTAL GENERAL </t>
  </si>
  <si>
    <t>ADMIN</t>
  </si>
  <si>
    <t>No. Crédito</t>
  </si>
  <si>
    <t>Admon</t>
  </si>
  <si>
    <t>Originador</t>
  </si>
  <si>
    <t>Estado</t>
  </si>
  <si>
    <t>Saldo</t>
  </si>
  <si>
    <t>Tipo</t>
  </si>
  <si>
    <t>Nuevos</t>
  </si>
  <si>
    <t>Ventas</t>
  </si>
  <si>
    <t>Ajustes</t>
  </si>
  <si>
    <t>Inventario Inicial</t>
  </si>
  <si>
    <t>Inventario Final</t>
  </si>
  <si>
    <t>7850</t>
  </si>
  <si>
    <t>Demandado</t>
  </si>
  <si>
    <t>Por Demandar. Solicitud De Testimonio</t>
  </si>
  <si>
    <t>No demandado</t>
  </si>
  <si>
    <t xml:space="preserve">Saldo a Favor SHF </t>
  </si>
  <si>
    <t>SUBTOTAL</t>
  </si>
  <si>
    <t>IVA RETENIDO</t>
  </si>
  <si>
    <t>ISR RETENIDO</t>
  </si>
  <si>
    <t>TOTAL</t>
  </si>
  <si>
    <t>ID FACTURA</t>
  </si>
  <si>
    <t>CONCEPTO DE GASTO</t>
  </si>
  <si>
    <t>FECHA CARGA</t>
  </si>
  <si>
    <t>ESTATUS</t>
  </si>
  <si>
    <t>CATALOGO GASTOS</t>
  </si>
  <si>
    <t>Judicial</t>
  </si>
  <si>
    <t>Otros Gastos</t>
  </si>
  <si>
    <t>(-) Liquidaciones por Conciliación</t>
  </si>
  <si>
    <t>Reversos de flujos a favor del Fideicomiso</t>
  </si>
  <si>
    <t>Comercializador</t>
  </si>
  <si>
    <t>Saldo Udis</t>
  </si>
  <si>
    <t>Precio de Venta</t>
  </si>
  <si>
    <t>PPNL</t>
  </si>
  <si>
    <t>Pérdida / Ganancia</t>
  </si>
  <si>
    <t>Concepto Gasto</t>
  </si>
  <si>
    <t>Clasificación</t>
  </si>
  <si>
    <t>Cuenta Créditos</t>
  </si>
  <si>
    <t>Suma Saldo Final (udis)</t>
  </si>
  <si>
    <t>% Particip.</t>
  </si>
  <si>
    <t>SubTotal Demandados</t>
  </si>
  <si>
    <t>Total general</t>
  </si>
  <si>
    <t>Reactivación de crédito</t>
  </si>
  <si>
    <t>PROGRESO</t>
  </si>
  <si>
    <t xml:space="preserve">B)  EVENTOS RELEVANTES DEL ADMINISTRADOR CON RESPECTO A PROCESOS JUDICIALES Y DE ADJUDICACIÓN </t>
  </si>
  <si>
    <t>C)  EVENTOS RELEVANTES CON RESPECTO A LOS INMUEBLES RECUPERADOS Y VENTAS</t>
  </si>
  <si>
    <t>SWAP</t>
  </si>
  <si>
    <t>GPI</t>
  </si>
  <si>
    <t>mas: Condonaciones, Quitas y Valorización de Udi´s</t>
  </si>
  <si>
    <t>Condonaciones, Quitas y Valorización de Udi´s</t>
  </si>
  <si>
    <t>Otros Gastos (Pena por Mora)</t>
  </si>
  <si>
    <t>Seguro de Daños</t>
  </si>
  <si>
    <t>Gastos por revisión efectos fiscales</t>
  </si>
  <si>
    <t>menos: Condonaciones y Quitas</t>
  </si>
  <si>
    <t>menos: Valorización de Udi´s</t>
  </si>
  <si>
    <t>NO.</t>
  </si>
  <si>
    <t>Sub Total</t>
  </si>
  <si>
    <t>IVA:</t>
  </si>
  <si>
    <t>Total:</t>
  </si>
  <si>
    <t>Crédito</t>
  </si>
  <si>
    <t>MacroEtapa</t>
  </si>
  <si>
    <t>Etapa Procesal</t>
  </si>
  <si>
    <t>Mora</t>
  </si>
  <si>
    <t>Total Recuperaciones</t>
  </si>
  <si>
    <t>Saldo Total de Recuperaciones</t>
  </si>
  <si>
    <t>Total Ventas</t>
  </si>
  <si>
    <t>1. En mayo 2020 se inicia nuevamente con la administración primaria de esta transacción por Patrimonio, estableciendo como base el 43.85% de cartera vigente, que representan 132 créditos hasta 3 mensualidades vencidas, el 4.65% (14 créditos) con morosidades entre cuatro y seis meses y por último el 51.49% como cartera vencida, esto es, 155 créditos con siete o más meses vencidos.</t>
  </si>
  <si>
    <t>Por Demandar</t>
  </si>
  <si>
    <t>Valor de la UDI a la fecha de pago:</t>
  </si>
  <si>
    <t>Calculo Comisión Superv Administradores</t>
  </si>
  <si>
    <t>% Comisión</t>
  </si>
  <si>
    <t>Monto de Comisión UDIS</t>
  </si>
  <si>
    <t>b) Fee sobre Inmuebles Recuperados</t>
  </si>
  <si>
    <t>Saldo Inmuebles (UDIS)</t>
  </si>
  <si>
    <t>Monto de Comisión</t>
  </si>
  <si>
    <t>c) Fee sobre gastos rechazados del periodo</t>
  </si>
  <si>
    <t>Concepto de Gasto</t>
  </si>
  <si>
    <t>Monto Total Rechazado</t>
  </si>
  <si>
    <t>Gasto de Cobranza</t>
  </si>
  <si>
    <t>Gastos de Venta</t>
  </si>
  <si>
    <t>Avances Legales</t>
  </si>
  <si>
    <t>d) Fee Venta de Inmuebles Administrador Maestro</t>
  </si>
  <si>
    <t>Monto Comisión</t>
  </si>
  <si>
    <t>Mes</t>
  </si>
  <si>
    <t>Monto Total de Comisión sin Iva</t>
  </si>
  <si>
    <t>Comisión Administrador Maestro</t>
  </si>
  <si>
    <t>Total Comisión del Periodo</t>
  </si>
  <si>
    <t>85% Comisión del Periodo</t>
  </si>
  <si>
    <t>Pago adeudo García Alcocer</t>
  </si>
  <si>
    <t>15% Comisión del Periodo</t>
  </si>
  <si>
    <t>Total comisión cobrada (mas iva)</t>
  </si>
  <si>
    <t>Pago Total Adeudo García Alcocer</t>
  </si>
  <si>
    <t>FECH. REPORTE DE PAGO</t>
  </si>
  <si>
    <t>MONTO REAL PAGADO ADEUD. GARCIA ALC.</t>
  </si>
  <si>
    <t>Monto Total de Comisión del Periodo (c/iva)</t>
  </si>
  <si>
    <t>SALDO ADEUDO GARCIA ALCOCER</t>
  </si>
  <si>
    <t>4. A continuación se detalle el acumulado de los inmuebles recuperados y ventas realizados durante el año en curso.</t>
  </si>
  <si>
    <t>(-) Ajuste por Conciliación</t>
  </si>
  <si>
    <t>Comisión por Venta</t>
  </si>
  <si>
    <t>No.  Crédito</t>
  </si>
  <si>
    <t>Saldo Pesos</t>
  </si>
  <si>
    <t>Valor Avalúo</t>
  </si>
  <si>
    <t>% de Venta respecto al Valor Avalúo</t>
  </si>
  <si>
    <t>Cobro de Fee</t>
  </si>
  <si>
    <t>SubTotal</t>
  </si>
  <si>
    <t>Total Gastos</t>
  </si>
  <si>
    <t>Comisión por Venta de Inmuebles</t>
  </si>
  <si>
    <t>PERIODO</t>
  </si>
  <si>
    <t>ETAPA</t>
  </si>
  <si>
    <t>TOTAL UDI's</t>
  </si>
  <si>
    <t>COBRO AL 50% UDI's</t>
  </si>
  <si>
    <t>FECHA TIPO DE CAMBIO</t>
  </si>
  <si>
    <t>TIPO DE CAMBIO</t>
  </si>
  <si>
    <t>COBRO PESOS</t>
  </si>
  <si>
    <t>Meses Atraso</t>
  </si>
  <si>
    <t>Monto de Pago</t>
  </si>
  <si>
    <t>Gastos</t>
  </si>
  <si>
    <t>Precio Neto (Monto Pago-Gastos)</t>
  </si>
  <si>
    <t>%Comisión</t>
  </si>
  <si>
    <t>Comision</t>
  </si>
  <si>
    <t xml:space="preserve">COMISIÓN POR LIQUIDACIONES DE CRÉDITOS CON 12 O MÁS MV </t>
  </si>
  <si>
    <t>Comisión por Liquidaciones Vencidas</t>
  </si>
  <si>
    <t>Avance Procesal</t>
  </si>
  <si>
    <t>MXMACCB 05U    F/00196</t>
  </si>
  <si>
    <t>POR DEMANDAR</t>
  </si>
  <si>
    <t>EM</t>
  </si>
  <si>
    <t>GESTION PERSONAL VISITA A DOMICILIO O TRABAJO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</si>
  <si>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</si>
  <si>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</si>
  <si>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</si>
  <si>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</si>
  <si>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</si>
  <si>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</si>
  <si>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</si>
  <si>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</si>
  <si>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</si>
  <si>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</si>
  <si>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11198</t>
  </si>
  <si>
    <t>11200</t>
  </si>
  <si>
    <t>11223</t>
  </si>
  <si>
    <t>12027</t>
  </si>
  <si>
    <t>12602</t>
  </si>
  <si>
    <t>12606</t>
  </si>
  <si>
    <t>12682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</si>
  <si>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</si>
  <si>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</si>
  <si>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</si>
  <si>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</si>
  <si>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</si>
  <si>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</si>
  <si>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</si>
  <si>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</si>
  <si>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</si>
  <si>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</si>
  <si>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</si>
  <si>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</si>
  <si>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</si>
  <si>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</si>
  <si>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</si>
  <si>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6004</t>
  </si>
  <si>
    <t>6225</t>
  </si>
  <si>
    <t>6507</t>
  </si>
  <si>
    <t>7937</t>
  </si>
  <si>
    <t>8174</t>
  </si>
  <si>
    <t>8175</t>
  </si>
  <si>
    <t>8191</t>
  </si>
  <si>
    <t>8193</t>
  </si>
  <si>
    <t>8256</t>
  </si>
  <si>
    <t>8320</t>
  </si>
  <si>
    <t>8323</t>
  </si>
  <si>
    <t>8333</t>
  </si>
  <si>
    <t>8335</t>
  </si>
  <si>
    <t>8542</t>
  </si>
  <si>
    <t>8630</t>
  </si>
  <si>
    <t>8635</t>
  </si>
  <si>
    <t>9122</t>
  </si>
  <si>
    <t>9147</t>
  </si>
  <si>
    <t>9485</t>
  </si>
  <si>
    <t>9661</t>
  </si>
  <si>
    <t>9707</t>
  </si>
  <si>
    <t>9715</t>
  </si>
  <si>
    <t>9721</t>
  </si>
  <si>
    <t>9728</t>
  </si>
  <si>
    <t>9754</t>
  </si>
  <si>
    <t>9758</t>
  </si>
  <si>
    <t>9806</t>
  </si>
  <si>
    <t>9808</t>
  </si>
  <si>
    <t>9938</t>
  </si>
  <si>
    <t>OTRAS PRIORIDADES DE PAGO</t>
  </si>
  <si>
    <t>HABITADA (NO SE ENCONTRO A NADIE EN ESE MOMENTO)</t>
  </si>
  <si>
    <t>NO SE CUENTA CON LA INFORMACION</t>
  </si>
  <si>
    <t>SIN INFORMACION</t>
  </si>
  <si>
    <t>JOEL MARTIN CASTRO ROJAS</t>
  </si>
  <si>
    <t>ORAL MERCANTIL</t>
  </si>
  <si>
    <t>ESTADO DE MEXICO</t>
  </si>
  <si>
    <t>EMPLAZAMIENTO</t>
  </si>
  <si>
    <t>Emplazamiento. Cita para emplazar</t>
  </si>
  <si>
    <t>DESHABITADA</t>
  </si>
  <si>
    <t>ORDINARIO MERCANTIL</t>
  </si>
  <si>
    <t>OCTAVO</t>
  </si>
  <si>
    <t>1892/2015</t>
  </si>
  <si>
    <t>JALISCO</t>
  </si>
  <si>
    <t>HABITADA POR DEMANDADO</t>
  </si>
  <si>
    <t>LIC. JOSUE ABUNDEZ OSUNA</t>
  </si>
  <si>
    <t>ESPECIAL HIPOTECARIO</t>
  </si>
  <si>
    <t>394/2019</t>
  </si>
  <si>
    <t>BAJA CALIFORNIA NORTE</t>
  </si>
  <si>
    <t>Audiencia de Pruebas y Alegatos</t>
  </si>
  <si>
    <t>SIN VOLUNTAD DE PAGO</t>
  </si>
  <si>
    <t>PROCESO DEMANDA</t>
  </si>
  <si>
    <t>ORDINARIO CIVIL</t>
  </si>
  <si>
    <t>CLIENTE CON EMPLEO FORMAL BAJOS INGRESOS</t>
  </si>
  <si>
    <t>JORGE ALBERTO MOLINA JIMENEZ</t>
  </si>
  <si>
    <t>CUARTO</t>
  </si>
  <si>
    <t>278/2012</t>
  </si>
  <si>
    <t>QUINTANA ROO</t>
  </si>
  <si>
    <t>ILOCALIZABLE</t>
  </si>
  <si>
    <t>primero mercantil de primera instancia</t>
  </si>
  <si>
    <t>558/2017</t>
  </si>
  <si>
    <t>SENTENCIA EN CONTRA</t>
  </si>
  <si>
    <t>Sentencia en Contra. Dictado</t>
  </si>
  <si>
    <t>GRANILLO BECERRIL Y ASOCIADOS SC</t>
  </si>
  <si>
    <t>CUARTO DE DISTRITO</t>
  </si>
  <si>
    <t>101/2017</t>
  </si>
  <si>
    <t>IROEL DAVID JUAREZ DUARTE</t>
  </si>
  <si>
    <t>6 CIVIL IXTAPALUCA</t>
  </si>
  <si>
    <t>1428/2016</t>
  </si>
  <si>
    <t>ANGELICA POZOS CRUZ</t>
  </si>
  <si>
    <t>2 CIVIL</t>
  </si>
  <si>
    <t>958/2016</t>
  </si>
  <si>
    <t>2 CIVIL DE CUAUTITLAN IZCALLI</t>
  </si>
  <si>
    <t>594/2017</t>
  </si>
  <si>
    <t>434/2019</t>
  </si>
  <si>
    <t>Emplazamiento. Se gira exhorto de emplazamiento nuevo domicilio</t>
  </si>
  <si>
    <t>695/2012</t>
  </si>
  <si>
    <t>3 CIVIL</t>
  </si>
  <si>
    <t>INNOVA CORPORATIVO JURIDICO Y ADMINISTRADORA DE PORTAFOLIOS</t>
  </si>
  <si>
    <t>TERCERO CIVIL CUAUTITLAN IZCALLI</t>
  </si>
  <si>
    <t>972/2017</t>
  </si>
  <si>
    <t>DISTRITO FEDERAL</t>
  </si>
  <si>
    <t>(CUAUTITLAN IZCALLI) Juzgado Segundo Civil</t>
  </si>
  <si>
    <t>498/2019</t>
  </si>
  <si>
    <t>5 CIVIL</t>
  </si>
  <si>
    <t>958/2011</t>
  </si>
  <si>
    <t>CONSULTORES JURIDICOS ARANEA</t>
  </si>
  <si>
    <t>5 CIVIL TECAMAC</t>
  </si>
  <si>
    <t>766/2017</t>
  </si>
  <si>
    <t>5 DE TECAMAC</t>
  </si>
  <si>
    <t>767/2017</t>
  </si>
  <si>
    <t>LIC. ERICK MENDOZA GUADARRAMA</t>
  </si>
  <si>
    <t>5 CIVIL DE ECATEPEC CON RESIDENCIA EN TECAMAC</t>
  </si>
  <si>
    <t>341/2011</t>
  </si>
  <si>
    <t>RODOLFO RODRIGUEZ ARZATE</t>
  </si>
  <si>
    <t>709/2017</t>
  </si>
  <si>
    <t>FIAT FACTUM S. DE R. L. DE C.V.</t>
  </si>
  <si>
    <t>5 CIVIL CON RESIDENCIA EN TECAMAC</t>
  </si>
  <si>
    <t>886/2016</t>
  </si>
  <si>
    <t>FFR ASESORES, S.C.</t>
  </si>
  <si>
    <t>1758/2008</t>
  </si>
  <si>
    <t>5 TECAMAC</t>
  </si>
  <si>
    <t>748/2017</t>
  </si>
  <si>
    <t>1214/2016</t>
  </si>
  <si>
    <t>(CUAUTITLAN IZCALLI) Juzgado Tercero Civil</t>
  </si>
  <si>
    <t>1338/19</t>
  </si>
  <si>
    <t>352/2011</t>
  </si>
  <si>
    <t>713/2009</t>
  </si>
  <si>
    <t>913/2021</t>
  </si>
  <si>
    <t>919/2016</t>
  </si>
  <si>
    <t>FELIPE MEDINA CASTILLO</t>
  </si>
  <si>
    <t>(CUAUHTEMOC) Juzgado 8 Civil</t>
  </si>
  <si>
    <t>546/2019</t>
  </si>
  <si>
    <t>12 CIVIL</t>
  </si>
  <si>
    <t>650/2017</t>
  </si>
  <si>
    <t>(ECATEPEC DE MORELOS) Juzgado Primero Mercantil</t>
  </si>
  <si>
    <t>1062/2022</t>
  </si>
  <si>
    <t>CLAUDIO HERNANDEZ BAUTISTAS</t>
  </si>
  <si>
    <t>EJECUTIVO MERCANTIL</t>
  </si>
  <si>
    <t>1067/2022</t>
  </si>
  <si>
    <t>1366/2017</t>
  </si>
  <si>
    <t>1096/16</t>
  </si>
  <si>
    <t>CONVENIO JUDICIAL</t>
  </si>
  <si>
    <t>Convenio Judicial Aprobado</t>
  </si>
  <si>
    <t>MORA BAJA</t>
  </si>
  <si>
    <t>Mora Baja</t>
  </si>
  <si>
    <t>PUEBLA</t>
  </si>
  <si>
    <t>SUMARIO CIVIL HIPOTECARIO</t>
  </si>
  <si>
    <t>SINALOA</t>
  </si>
  <si>
    <t>NAVA ASCENCIO CONSULTORES S.C.</t>
  </si>
  <si>
    <t>254/2011</t>
  </si>
  <si>
    <t>(CUAUHTEMOC) Juzgado 45 Civil</t>
  </si>
  <si>
    <t>1326/2019</t>
  </si>
  <si>
    <t>(CUAUHTEMOC) Juzgado 27 Civil</t>
  </si>
  <si>
    <t>778/2022</t>
  </si>
  <si>
    <t>568/2017</t>
  </si>
  <si>
    <t>492/2019</t>
  </si>
  <si>
    <t>1252/2012</t>
  </si>
  <si>
    <t>AMPARO DIRECTO</t>
  </si>
  <si>
    <t>Amparo Directo. Ejecutoria de Amparo</t>
  </si>
  <si>
    <t>(CUAUHTEMOC) Juzgado 48 Civil</t>
  </si>
  <si>
    <t>777/2022</t>
  </si>
  <si>
    <t>257/2008</t>
  </si>
  <si>
    <t>(CUAUHTEMOC) Juzgado 1 Civil</t>
  </si>
  <si>
    <t>56 CIVIL CIUDAD DE MEXICO</t>
  </si>
  <si>
    <t>614/2018</t>
  </si>
  <si>
    <t>71 CIVIL</t>
  </si>
  <si>
    <t>873/2016</t>
  </si>
  <si>
    <t>1022/2010</t>
  </si>
  <si>
    <t>GARZA Y GARZA BUFETTE JURIDICO SA DE CV</t>
  </si>
  <si>
    <t>(MAZATLAN) Juzgado Segundo Civil</t>
  </si>
  <si>
    <t>3647/2020</t>
  </si>
  <si>
    <t>2 IXTAPALUCA</t>
  </si>
  <si>
    <t>1040/2017</t>
  </si>
  <si>
    <t>775/2017</t>
  </si>
  <si>
    <t>5 civil</t>
  </si>
  <si>
    <t>916/2016</t>
  </si>
  <si>
    <t>988/2012</t>
  </si>
  <si>
    <t>749/2017</t>
  </si>
  <si>
    <t>1403/2016</t>
  </si>
  <si>
    <t>(MAZATLAN) Juzgado Cuarto Civil</t>
  </si>
  <si>
    <t>3818/2020</t>
  </si>
  <si>
    <t>651/2017</t>
  </si>
  <si>
    <t>959/2016</t>
  </si>
  <si>
    <t>6 CIVIL</t>
  </si>
  <si>
    <t>7183/2021</t>
  </si>
  <si>
    <t>F196</t>
  </si>
  <si>
    <t>No</t>
  </si>
  <si>
    <t>Retroceso</t>
  </si>
  <si>
    <t>Misma etapa por bloque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</si>
  <si>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</si>
  <si>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</si>
  <si>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</si>
  <si>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</si>
  <si>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</si>
  <si>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</si>
  <si>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</si>
  <si>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</si>
  <si>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</si>
  <si>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</si>
  <si>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</si>
  <si>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</si>
  <si>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</si>
  <si>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</si>
  <si>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</si>
  <si>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</si>
  <si>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</si>
  <si>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</si>
  <si>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</si>
  <si>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</si>
  <si>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</si>
  <si>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</si>
  <si>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</si>
  <si>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</si>
  <si>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</si>
  <si>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</si>
  <si>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</si>
  <si>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</si>
  <si>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</si>
  <si>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</si>
  <si>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</si>
  <si>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</si>
  <si>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</si>
  <si>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</si>
  <si>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</si>
  <si>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</si>
  <si>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</si>
  <si>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</si>
  <si>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</si>
  <si>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</si>
  <si>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</si>
  <si>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</si>
  <si>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</si>
  <si>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</si>
  <si>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</si>
  <si>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</si>
  <si>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</si>
  <si>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</si>
  <si>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</si>
  <si>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</si>
  <si>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</si>
  <si>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</si>
  <si>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</si>
  <si>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</si>
  <si>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</si>
  <si>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</si>
  <si>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</si>
  <si>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</si>
  <si>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</si>
  <si>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</si>
  <si>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</si>
  <si>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</si>
  <si>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</si>
  <si>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</si>
  <si>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</si>
  <si>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</si>
  <si>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</si>
  <si>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</si>
  <si>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</si>
  <si>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</si>
  <si>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</si>
  <si>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</si>
  <si>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</si>
  <si>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BCN</t>
  </si>
  <si>
    <t>MEXICALI</t>
  </si>
  <si>
    <t>TULTITLAN</t>
  </si>
  <si>
    <t>10243</t>
  </si>
  <si>
    <t>TIJUANA</t>
  </si>
  <si>
    <t>JAL</t>
  </si>
  <si>
    <t>ZAPOPAN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</si>
  <si>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</si>
  <si>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</si>
  <si>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</si>
  <si>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</si>
  <si>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</si>
  <si>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</si>
  <si>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</si>
  <si>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</si>
  <si>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</si>
  <si>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</si>
  <si>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</si>
  <si>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</si>
  <si>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</si>
  <si>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</si>
  <si>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</si>
  <si>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</si>
  <si>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</si>
  <si>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</si>
  <si>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</si>
  <si>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</si>
  <si>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</si>
  <si>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</si>
  <si>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</si>
  <si>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</si>
  <si>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</si>
  <si>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</si>
  <si>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</si>
  <si>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</si>
  <si>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</si>
  <si>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</si>
  <si>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</si>
  <si>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</si>
  <si>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</si>
  <si>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</si>
  <si>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</si>
  <si>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</si>
  <si>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</si>
  <si>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</si>
  <si>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</si>
  <si>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</si>
  <si>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</si>
  <si>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</si>
  <si>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</si>
  <si>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</si>
  <si>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</si>
  <si>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</si>
  <si>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</si>
  <si>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</si>
  <si>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</si>
  <si>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</si>
  <si>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</si>
  <si>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</si>
  <si>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</si>
  <si>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</si>
  <si>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</si>
  <si>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</si>
  <si>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</si>
  <si>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</si>
  <si>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</si>
  <si>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</si>
  <si>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</si>
  <si>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</si>
  <si>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</si>
  <si>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</si>
  <si>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</si>
  <si>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</si>
  <si>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</si>
  <si>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</si>
  <si>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</si>
  <si>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</si>
  <si>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</si>
  <si>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</si>
  <si>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</si>
  <si>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</si>
  <si>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</si>
  <si>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</si>
  <si>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</si>
  <si>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</si>
  <si>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</si>
  <si>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</si>
  <si>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</si>
  <si>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</si>
  <si>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</si>
  <si>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</si>
  <si>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</si>
  <si>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</si>
  <si>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</si>
  <si>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</si>
  <si>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</si>
  <si>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</si>
  <si>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</si>
  <si>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</si>
  <si>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</si>
  <si>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</si>
  <si>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</si>
  <si>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</si>
  <si>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</si>
  <si>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</si>
  <si>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</si>
  <si>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</si>
  <si>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</si>
  <si>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</si>
  <si>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</si>
  <si>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</si>
  <si>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</si>
  <si>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</si>
  <si>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</si>
  <si>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</si>
  <si>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</si>
  <si>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</si>
  <si>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</si>
  <si>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</si>
  <si>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</si>
  <si>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</si>
  <si>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</si>
  <si>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</si>
  <si>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</si>
  <si>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</si>
  <si>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</si>
  <si>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</si>
  <si>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</si>
  <si>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</si>
  <si>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</si>
  <si>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</si>
  <si>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</si>
  <si>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DICIEMBRE</t>
  </si>
  <si>
    <t>DECEMBER</t>
  </si>
  <si>
    <t>Reestructura</t>
  </si>
  <si>
    <t>Inmueble</t>
  </si>
  <si>
    <t>Suma:</t>
  </si>
  <si>
    <t>SALDO</t>
  </si>
  <si>
    <t>MORA</t>
  </si>
  <si>
    <t>MONEDA</t>
  </si>
  <si>
    <t>Flujos Identificados Corte</t>
  </si>
  <si>
    <t>Montos recibidos por aplicar</t>
  </si>
  <si>
    <t>Sub total</t>
  </si>
  <si>
    <t>saf</t>
  </si>
  <si>
    <t>total aplicado</t>
  </si>
  <si>
    <t>Saf</t>
  </si>
  <si>
    <t>Comisión por avance procesal</t>
  </si>
  <si>
    <t>Pena por mora</t>
  </si>
  <si>
    <t>Comisión por liquidación</t>
  </si>
  <si>
    <t>Rechazado</t>
  </si>
  <si>
    <t>Autorizado</t>
  </si>
  <si>
    <t>Fideicomiso</t>
  </si>
  <si>
    <t>ID ADAM</t>
  </si>
  <si>
    <t>Garante</t>
  </si>
  <si>
    <t>Fecha de notificación</t>
  </si>
  <si>
    <t>Fecha de pago al fideicomiso</t>
  </si>
  <si>
    <t>PAT F196</t>
  </si>
  <si>
    <t>5. Al cierre de este mes se está reportando la recuperación de GPI de 1 crédito, el cual se ve reflejado en el punto 9. Principal Producto Neto de Liquidación en el Reporte Consolidado de Cobranza</t>
  </si>
  <si>
    <t>(+) Ajuste por Conciliación</t>
  </si>
  <si>
    <t>9905</t>
  </si>
  <si>
    <t>MAZDOM SC</t>
  </si>
  <si>
    <t>EJECUCION DE SENTENCIA</t>
  </si>
  <si>
    <t>Ejecucion De Sentencia. Resolucion de Incidente de Liquidacion</t>
  </si>
  <si>
    <t>COMUNICACION TELEFONICA</t>
  </si>
  <si>
    <t>CONTESTACION, PRUEBAS Y ALEGATOS</t>
  </si>
  <si>
    <t>Si</t>
  </si>
  <si>
    <t>SOLIS &amp; SALAS ABOGADOS, S.C.P.</t>
  </si>
  <si>
    <t>EJECUCION CONVENIO JUDICIAL</t>
  </si>
  <si>
    <t>Ejecucion Convenio Judicial. Avaluos</t>
  </si>
  <si>
    <t>DISMINUCION DE INGRESOS</t>
  </si>
  <si>
    <t>SOLUCIONES EN COBRANZA Y RECUPERACION S.A. DE C.V.</t>
  </si>
  <si>
    <t>PRESENTACION DE LA DEMANDA</t>
  </si>
  <si>
    <t>Presentacion De Demanda. Auto Admisorio</t>
  </si>
  <si>
    <t>Ejecucion De Sentencia. Requerimiento</t>
  </si>
  <si>
    <t>CORPORACION PENA VAZQUEZ Y ASOCIADOS, S.C.</t>
  </si>
  <si>
    <t>(ZAPOPAN) Juzgado Decimo de lo Civil</t>
  </si>
  <si>
    <t>Ejecucion De Sentencia. Avaluos</t>
  </si>
  <si>
    <t>JOSE ALBERTO RUIZ NORIEGA</t>
  </si>
  <si>
    <t>CONVENIO DE MEDIACION</t>
  </si>
  <si>
    <t>Convenio de Mediacion. Inscrito</t>
  </si>
  <si>
    <t>Ejecucion de convenio</t>
  </si>
  <si>
    <t>ASISTENCIA JURIDICA MBA S.C.</t>
  </si>
  <si>
    <t>1 MERCANTIL DE ECATEPEC</t>
  </si>
  <si>
    <t>Emplazamiento. Oficios de localizacion</t>
  </si>
  <si>
    <t>Emplazamiento. Habilitacion de dias y horas</t>
  </si>
  <si>
    <t>Contestacion y/o Reconvencion</t>
  </si>
  <si>
    <t>11 CIVIL</t>
  </si>
  <si>
    <t>ADJUDICACION</t>
  </si>
  <si>
    <t>RODRIGUEZ , BENJAMIN</t>
  </si>
  <si>
    <t>1562/2008</t>
  </si>
  <si>
    <t>PAE</t>
  </si>
  <si>
    <t>PAE. Remate</t>
  </si>
  <si>
    <t>Inmueble PAE</t>
  </si>
  <si>
    <t>19 CIVIL CIUDAD DE MEXICO</t>
  </si>
  <si>
    <t>Etiquetas de fila</t>
  </si>
  <si>
    <t>Suma de SUBTOTAL</t>
  </si>
  <si>
    <t>(TECAMAC) Juzgado Quinto Civil</t>
  </si>
  <si>
    <t>1860/2019</t>
  </si>
  <si>
    <t>POSESION</t>
  </si>
  <si>
    <t>Posesion. Solicitud al juez</t>
  </si>
  <si>
    <t>Ivonne Ramos Noriega</t>
  </si>
  <si>
    <t>Cons</t>
  </si>
  <si>
    <t>Subtotal</t>
  </si>
  <si>
    <t>1. Este mes NO reporta adjudicación de inmuebles.</t>
  </si>
  <si>
    <t>autorizado</t>
  </si>
  <si>
    <t>2. En este periodo no reporta venta de inmuebles.</t>
  </si>
  <si>
    <t>5. En el resumen de saldos a favor se realiza un ajuste por $680,933.36, debido a que el administrador tenia dinero en las cuentas, pero en su momento no estaba identificado, este mes realiza la aplicación como montos aplicados de periodos anteriores.</t>
  </si>
  <si>
    <t>Devolución administrador - Reembolso</t>
  </si>
  <si>
    <t>6. En este periodo se esta llevando a cabo el reembolso al administrador el importe de $551,383.66, en el campo 37 del Reporte de Cobranza. Esto debido a que el acréditado demostro que su crédito (7849) estaba firmado con la tasa del 3% y no del 10%, como estaba en el sistema. Alegando que dicho crédito quedo pagado mucho antes de lo estipulado, lo cual se condeno a la reposición del importe pagado en exceso.</t>
  </si>
  <si>
    <t>REESTRUCTURAS DEL 01 AL 31 DE MAYO DE 2024</t>
  </si>
  <si>
    <t>Amparo Indirecto</t>
  </si>
  <si>
    <t>Certificado de gravamen</t>
  </si>
  <si>
    <t>MOVIMIENTOS SOCIALES</t>
  </si>
  <si>
    <t>Emplazamiento. Efectivo por via actuarial</t>
  </si>
  <si>
    <t>3. Se tienen identificados tres créditos los cuales están clasificados como "No Demandados" y presentan moras por arriba de los 29 meses vencidos, se solicitará al Administrador el detalle de la problemática y/o las causas del por qué no se ha iniciado un proceso legal.</t>
  </si>
  <si>
    <t>Valorización udis</t>
  </si>
  <si>
    <r>
      <t xml:space="preserve">3. Al cierre de junio el inventario de inmuebles  cierra con </t>
    </r>
    <r>
      <rPr>
        <b/>
        <sz val="9"/>
        <color rgb="FF000000"/>
        <rFont val="Calibri"/>
        <family val="2"/>
        <scheme val="minor"/>
      </rPr>
      <t>36 garantías</t>
    </r>
    <r>
      <rPr>
        <sz val="9"/>
        <color indexed="8"/>
        <rFont val="Calibri"/>
        <family val="2"/>
        <scheme val="minor"/>
      </rPr>
      <t xml:space="preserve"> recuperadas, con un saldo total de</t>
    </r>
    <r>
      <rPr>
        <b/>
        <sz val="9"/>
        <color rgb="FF000000"/>
        <rFont val="Calibri"/>
        <family val="2"/>
        <scheme val="minor"/>
      </rPr>
      <t xml:space="preserve"> 3´067,101.09  udis</t>
    </r>
    <r>
      <rPr>
        <sz val="9"/>
        <color indexed="8"/>
        <rFont val="Calibri"/>
        <family val="2"/>
        <scheme val="minor"/>
      </rPr>
      <t xml:space="preserve">.  </t>
    </r>
  </si>
  <si>
    <t>MXMACCB 05U REPORTE DE COBRANZA EXTRA JUDICIAL Y JUDICIAL AL 31 DE JULIO DE 2024</t>
  </si>
  <si>
    <t>REPORTE DE PREPAGO DEL 01 AL 31 DE JULIO DE 2024</t>
  </si>
  <si>
    <t>DESGLOSE DE COMISIÓN POR VENTA  DEL 01 AL 31 DE JULIO DE 2024</t>
  </si>
  <si>
    <t>GASTOS AUTORIZADOS DEL 01 AL 31 DE JULIO DE 2024</t>
  </si>
  <si>
    <t>AVANCES JUDICIALES DEL 01 AL 31 DE JULIO DE 2024</t>
  </si>
  <si>
    <t>DESGLOSE DE GASTOS DE COBRANZA DEL 01 AL 31 DE JULIO DE 2024</t>
  </si>
  <si>
    <t>REPORTE DE COBRANZA DEL 01 AL 31 DE JULIO DE 2024</t>
  </si>
  <si>
    <t>DESGLOSE DE COMISIÓN POR ADMINISTRACIÓN MAESTRA DEL 01  AL 31 DE JULIO DE 2024</t>
  </si>
  <si>
    <t>REPORTE DE COBRANZA DEL MES PASADO PARA DEPOSITO EN CUENTA DE COBRANZA AL 30 DE JUNIO DE 2024</t>
  </si>
  <si>
    <t>REPORTE DE COBRANZA CONSOLIDADO DEL 01 AL 31 DE JULIO DE 2024</t>
  </si>
  <si>
    <t>COLLECTION REPORT CONSOLIDATED 1 FRST TO JULY  31, 2024</t>
  </si>
  <si>
    <t>Smart</t>
  </si>
  <si>
    <t>Crédito Administrador</t>
  </si>
  <si>
    <t>Cartera</t>
  </si>
  <si>
    <t>Adaministrador</t>
  </si>
  <si>
    <t>Nombre</t>
  </si>
  <si>
    <t>Municipio</t>
  </si>
  <si>
    <t>Colonia</t>
  </si>
  <si>
    <t>Calle</t>
  </si>
  <si>
    <t>Dación / Adjudicación / Poder</t>
  </si>
  <si>
    <t>Periodo de Reporte de las Daciones/Ventas</t>
  </si>
  <si>
    <t>Estatus (Vendido / Disponible)</t>
  </si>
  <si>
    <t>Saldo en Udis</t>
  </si>
  <si>
    <t>Valor de la Udi</t>
  </si>
  <si>
    <t>Saldo en Pesos</t>
  </si>
  <si>
    <t>Fecha de Dación / Adjudiación</t>
  </si>
  <si>
    <t>Observaciones</t>
  </si>
  <si>
    <t>9655</t>
  </si>
  <si>
    <t>PAT</t>
  </si>
  <si>
    <t>MARIA GUADALUPE RUEDA REYNOSO</t>
  </si>
  <si>
    <t>VILLA DEL REAL</t>
  </si>
  <si>
    <t>PRIV. SORIA # 3, UNIDAD B</t>
  </si>
  <si>
    <t>Dación</t>
  </si>
  <si>
    <t>VENTA</t>
  </si>
  <si>
    <t>10920</t>
  </si>
  <si>
    <t>MARIA DEL ROCIO ELIZALDE CHAVEZ</t>
  </si>
  <si>
    <t>CUAUHTEMOC</t>
  </si>
  <si>
    <t>RES. CARPIO SANTA MARIA LA RIVERA</t>
  </si>
  <si>
    <t>MANUEL CARPIO # 67  # A-601</t>
  </si>
  <si>
    <t>Adjudicación</t>
  </si>
  <si>
    <t>10778</t>
  </si>
  <si>
    <t>ETHEL IBETH SALAS MORALES</t>
  </si>
  <si>
    <t>QUINTA DEL REY</t>
  </si>
  <si>
    <t>AV. COLMENAR  # 634</t>
  </si>
  <si>
    <t>9722</t>
  </si>
  <si>
    <t>GRISELDA MANCERA CRUZ</t>
  </si>
  <si>
    <t>PRIV. PISA # 16, UNIDAD M</t>
  </si>
  <si>
    <t>12480</t>
  </si>
  <si>
    <t>MONICA PENSABE SALMERON</t>
  </si>
  <si>
    <t>CALLE ABEDUL # 33, UNIDAD Q</t>
  </si>
  <si>
    <t>11278</t>
  </si>
  <si>
    <t>MIGUEL ANGEL OLIVARES CABRERA</t>
  </si>
  <si>
    <t>LEON</t>
  </si>
  <si>
    <t>HACIENDA LAS MANDARINAS</t>
  </si>
  <si>
    <t>1A PRIVADA AMOLES  # 139</t>
  </si>
  <si>
    <t>9911</t>
  </si>
  <si>
    <t>EDUARDO MOYA RAMIREZ</t>
  </si>
  <si>
    <t>COLINAS DEL REY</t>
  </si>
  <si>
    <t>PASEO POPOCATEPETL # 5633-61</t>
  </si>
  <si>
    <t>10120</t>
  </si>
  <si>
    <t>ESTEBAN MORENO COTA</t>
  </si>
  <si>
    <t>RESIDENCIAL QUINTA DEL REY</t>
  </si>
  <si>
    <t>AV. COLMENAR # 684</t>
  </si>
  <si>
    <t>10559</t>
  </si>
  <si>
    <t>MARIA DE LOURDES MORENO GUERRA</t>
  </si>
  <si>
    <t>SANTA FE</t>
  </si>
  <si>
    <t>SAN BERNARDO  # 10028 (UNIDAD U-121)</t>
  </si>
  <si>
    <t>12219</t>
  </si>
  <si>
    <t>JOSE MANUEL LIZCANO ANCIRA</t>
  </si>
  <si>
    <t>JARDINES DE ANDALUCIA</t>
  </si>
  <si>
    <t>JARDINES DE BARCELON  # 7605</t>
  </si>
  <si>
    <t>10106</t>
  </si>
  <si>
    <t>JESUS GODINEZ CRUZ</t>
  </si>
  <si>
    <t>AVE. COLMENAR # 677</t>
  </si>
  <si>
    <t>9895</t>
  </si>
  <si>
    <t>ENRIQUE NUÑEZ ROJAS</t>
  </si>
  <si>
    <t>AV. COLMENAR # 626</t>
  </si>
  <si>
    <t>11575</t>
  </si>
  <si>
    <t>MARTHA ALICIA CASTRO GUARDADO</t>
  </si>
  <si>
    <t>MONTERREY</t>
  </si>
  <si>
    <t>REAL CUMBRES</t>
  </si>
  <si>
    <t>MEZQUITE  # 827</t>
  </si>
  <si>
    <t>12734</t>
  </si>
  <si>
    <t>BRUNILDA AURORA RODRIGUEZ CORELLA</t>
  </si>
  <si>
    <t>SAN SEBASTIAN</t>
  </si>
  <si>
    <t>COLINA DE LAS LAJAS, COND: V-20, UNID: V-79  # 7643-V79</t>
  </si>
  <si>
    <t>13067</t>
  </si>
  <si>
    <t>ESTHELA LUZ GONZALES ROMERO</t>
  </si>
  <si>
    <t>SAN BUENAVENTURA</t>
  </si>
  <si>
    <t>CIRCUITO REAL DEL RIO  # 19-B</t>
  </si>
  <si>
    <t>10031</t>
  </si>
  <si>
    <t>LUCIO SANCHEZ AYON</t>
  </si>
  <si>
    <t>AV. GABALDON # 589</t>
  </si>
  <si>
    <t>7853</t>
  </si>
  <si>
    <t>JESUS OCTAVIO GONZALEZ MARTINEZ</t>
  </si>
  <si>
    <t>GARCIA</t>
  </si>
  <si>
    <t>VILLAS DEL PONIENTE</t>
  </si>
  <si>
    <t>VILLA GRANADA # 330</t>
  </si>
  <si>
    <t>9009</t>
  </si>
  <si>
    <t>EDUARDO ARAIZA KURI</t>
  </si>
  <si>
    <t>JARDINES DE SEVILLA # 7709</t>
  </si>
  <si>
    <t>8507</t>
  </si>
  <si>
    <t>RAFAEL GARCIA RAMIREZ</t>
  </si>
  <si>
    <t>EX-HACIENDA EL ROSARIO</t>
  </si>
  <si>
    <t>CIRCUITO HACIENDA EL COCOYOC # 412</t>
  </si>
  <si>
    <t>10911</t>
  </si>
  <si>
    <t>HERMILO SIERRA DELGADO</t>
  </si>
  <si>
    <t>CIRCUITO HACIENDA DE OCOYOACA  # 238</t>
  </si>
  <si>
    <t>9906</t>
  </si>
  <si>
    <t>JOSE MARCOS LOPEZ ZARATE</t>
  </si>
  <si>
    <t>AV. FONELAS # 533</t>
  </si>
  <si>
    <t>10034</t>
  </si>
  <si>
    <t>CESAR FABIAN CASTRO RAMOS</t>
  </si>
  <si>
    <t>AV. COLMENAR # 652</t>
  </si>
  <si>
    <t>9894</t>
  </si>
  <si>
    <t>GERARDO CRUZ SANDOVAL</t>
  </si>
  <si>
    <t>AV. COLMENAR # 630</t>
  </si>
  <si>
    <t>8498</t>
  </si>
  <si>
    <t>MARGARITA CANFIELD LEMUS</t>
  </si>
  <si>
    <t>CIRCUITO HACIENDA EL COCOYOC # 427</t>
  </si>
  <si>
    <t>9879</t>
  </si>
  <si>
    <t>MELVA VERONICA CRUZ OCHOA</t>
  </si>
  <si>
    <t>AV. COLMENAR # 649</t>
  </si>
  <si>
    <t>12912</t>
  </si>
  <si>
    <t>CYNTHIA VANESSA GONZALEZ SILVA</t>
  </si>
  <si>
    <t>PRIV. OPORTO # 1, UNIDAD A</t>
  </si>
  <si>
    <t>10142</t>
  </si>
  <si>
    <t>DANIEL ALI MONTIEL JUAREZ</t>
  </si>
  <si>
    <t>AVE. BALTAR # 695</t>
  </si>
  <si>
    <t>16345</t>
  </si>
  <si>
    <t>LORENA ISABEL ESQUIVEL REYNA</t>
  </si>
  <si>
    <t>HACIENDA LOS MORALES</t>
  </si>
  <si>
    <t>AHUEHUETES # 1009</t>
  </si>
  <si>
    <t>REACTIV 01/07/2020</t>
  </si>
  <si>
    <t>10129</t>
  </si>
  <si>
    <t>ALMA JANNETH GOMEZ GAMEROS</t>
  </si>
  <si>
    <t>AVE. BALTAR # 532</t>
  </si>
  <si>
    <t>10850</t>
  </si>
  <si>
    <t>ALEJANDRO MAURICIO CABRERA CRUZ</t>
  </si>
  <si>
    <t>AV. COLMENAR  # 692</t>
  </si>
  <si>
    <t>9918</t>
  </si>
  <si>
    <t>ISSAK ABRAHAM FELIX AYALA</t>
  </si>
  <si>
    <t>CAMINO DE LA REYNA # 5607-11</t>
  </si>
  <si>
    <t>11048</t>
  </si>
  <si>
    <t>DELIA CONCEPCION OROZCO CASTRO</t>
  </si>
  <si>
    <t>AV. COLMENAR  # 636</t>
  </si>
  <si>
    <t>9864</t>
  </si>
  <si>
    <t>JESUS MIGUEL RODRIGUEZ ACOSTA</t>
  </si>
  <si>
    <t>AV. COLMENAR # 638</t>
  </si>
  <si>
    <t>10732</t>
  </si>
  <si>
    <t>MIGUEL ANGEL MARTINEZ ALMAZAN</t>
  </si>
  <si>
    <t>ST. MICHELLE</t>
  </si>
  <si>
    <t>C. RINCONADA RELAMPAGO ESQ. COPAN NORTE TORRE "B", DEPTO. 301  # LOTE 20</t>
  </si>
  <si>
    <t>12846</t>
  </si>
  <si>
    <t>JOSE ISAIAS ROBERTO SALAZAR CARMONA</t>
  </si>
  <si>
    <t>CAMINO DEL REY (OESTE), COND: MONTECATINI, UNID: 20  # 5475-20</t>
  </si>
  <si>
    <t>11561</t>
  </si>
  <si>
    <t>JULIO CESAR CASTILLO CALDELAS</t>
  </si>
  <si>
    <t>COTO MIRAFLORES</t>
  </si>
  <si>
    <t>PROLONGACION ATOTONILCO  # 1636-79</t>
  </si>
  <si>
    <t>10098</t>
  </si>
  <si>
    <t>EDEN MOLINA ROMERO</t>
  </si>
  <si>
    <t>AVE. COLMENAR # 653</t>
  </si>
  <si>
    <t>Adjudicación PAE</t>
  </si>
  <si>
    <t>14868</t>
  </si>
  <si>
    <t>SERGIO LOPEZ LOPEZ</t>
  </si>
  <si>
    <t>RESIDENCIAL DEL BOSQUE</t>
  </si>
  <si>
    <t>AV. PASEO DEL BOSQUE, COND: LAURELES, UNID: 22  # 25205</t>
  </si>
  <si>
    <t>11255</t>
  </si>
  <si>
    <t>PEDRO LUIS NEVAREZ GALARZA</t>
  </si>
  <si>
    <t>CAMINO DEL REY (ESTE), COND: N-8, UNID: N-31  # 5492-31N</t>
  </si>
  <si>
    <t>12019</t>
  </si>
  <si>
    <t>MARIA DE LOS ANGELES MALDONADO REYES</t>
  </si>
  <si>
    <t>PASEO DEL PARQUE  # 1-B</t>
  </si>
  <si>
    <t>7651</t>
  </si>
  <si>
    <t>ALFONSO COLORADO GUERRERO</t>
  </si>
  <si>
    <t>VILLA GRANADA # 334</t>
  </si>
  <si>
    <t>10895</t>
  </si>
  <si>
    <t>MARTHA ISABEL ZAMARRON VILLANUEVA</t>
  </si>
  <si>
    <t>CIRCUITO HACIENDA DEL MEZQUITAL  # 300</t>
  </si>
  <si>
    <t>12940</t>
  </si>
  <si>
    <t>RAFAEL ANGEL VALDEZ CAVAZOS</t>
  </si>
  <si>
    <t>CAOBA  # 586</t>
  </si>
  <si>
    <t>5359</t>
  </si>
  <si>
    <t>ANGEL ORTEGA GODINEZ</t>
  </si>
  <si>
    <t>VILLAS DEL NILO</t>
  </si>
  <si>
    <t>ELIAS VILLALPAN # 696</t>
  </si>
  <si>
    <t>7754</t>
  </si>
  <si>
    <t>DIEGO ZARATE TOVAR</t>
  </si>
  <si>
    <t>CONDOMINIO ALAMOS</t>
  </si>
  <si>
    <t>SIMON BOLIVAR # 820  B-402</t>
  </si>
  <si>
    <t>9882</t>
  </si>
  <si>
    <t>LEONARDO IÑIGUEZ LEON</t>
  </si>
  <si>
    <t>AV. GABALDON # 586</t>
  </si>
  <si>
    <t>12726</t>
  </si>
  <si>
    <t>FABRICIO RICO MARTINEZ</t>
  </si>
  <si>
    <t>QUINTA MONTECARLO</t>
  </si>
  <si>
    <t>COURCHEVEL  # 33-Q</t>
  </si>
  <si>
    <t>8852</t>
  </si>
  <si>
    <t>HORTENCIA CASTILLO GONZALEZ</t>
  </si>
  <si>
    <t>LOS HEROES COACALCO V</t>
  </si>
  <si>
    <t>HIGUERAS # 13-52</t>
  </si>
  <si>
    <t>10454</t>
  </si>
  <si>
    <t>EDUARDO DOMINGUEZ HERRERA</t>
  </si>
  <si>
    <t>INDEPENDENCIA II CALLE II</t>
  </si>
  <si>
    <t>INDEPENDENCIA 109 COND A DEPTO. 502</t>
  </si>
  <si>
    <t>9731</t>
  </si>
  <si>
    <t>MARIA ALEJANDRA GONZALEz LOPEZ</t>
  </si>
  <si>
    <t>PRIV. PISA # 5, UNIDAD C</t>
  </si>
  <si>
    <t>MANUEL MORENO GOMEZ</t>
  </si>
  <si>
    <t>AV. GABALDON # 548</t>
  </si>
  <si>
    <t>reactivación 01/08/2023</t>
  </si>
  <si>
    <t>11192</t>
  </si>
  <si>
    <t>JOSE MANUEL CASALES GIL</t>
  </si>
  <si>
    <t>PRIVADA BREST  # 38-AG</t>
  </si>
  <si>
    <t>9684</t>
  </si>
  <si>
    <t>JUANA DOLORES GARCIA LUNA</t>
  </si>
  <si>
    <t>PRIV. TRENTO # 9, UNIDAD E</t>
  </si>
  <si>
    <t>9643</t>
  </si>
  <si>
    <t>ALBERTO ORTEGA NAVARRO</t>
  </si>
  <si>
    <t>PRIV. PADUA # 18, UNIDAD L</t>
  </si>
  <si>
    <t>9751</t>
  </si>
  <si>
    <t>RICARDO TAPIA RIVERA</t>
  </si>
  <si>
    <t>PRIV. PADUA # 20, UNIDAD K</t>
  </si>
  <si>
    <t>12763</t>
  </si>
  <si>
    <t>BELINDA CALDERON QUEZADA</t>
  </si>
  <si>
    <t>PRIV. MESTRE # 6, UNIDAD AL</t>
  </si>
  <si>
    <t>DISPONIBLE</t>
  </si>
  <si>
    <t>12873</t>
  </si>
  <si>
    <t>JUAN SANCHEZ PEREZ</t>
  </si>
  <si>
    <t>PRIV. LYON # 20, UNIDAD T</t>
  </si>
  <si>
    <t>9642</t>
  </si>
  <si>
    <t>ISRAEL MORENO GALLARDO</t>
  </si>
  <si>
    <t>PRIV. PADUA # 6, UNIDAD R</t>
  </si>
  <si>
    <t>8650</t>
  </si>
  <si>
    <t>ELIORECHT HERNANDEZ RAMIREZ</t>
  </si>
  <si>
    <t>REAL DEL BOSQUE</t>
  </si>
  <si>
    <t>BOSQUES DE NOGALES # 5-B</t>
  </si>
  <si>
    <t>8049</t>
  </si>
  <si>
    <t>MARTIN ORTIZ ORTIZ</t>
  </si>
  <si>
    <t>CONDOMINIO NI¥OS HEROES</t>
  </si>
  <si>
    <t>NI¥OS HEROES # 44 A-503</t>
  </si>
  <si>
    <t>13068</t>
  </si>
  <si>
    <t>FRANCISCO GRANADOS ARROYO</t>
  </si>
  <si>
    <t>CIRCUITO PASEO DEL PARQUE  # 8-D</t>
  </si>
  <si>
    <t>9658</t>
  </si>
  <si>
    <t>JORGE EDUARDO NERI MERCADO</t>
  </si>
  <si>
    <t>PRIV. TRENTO # 11, UNIDAD F</t>
  </si>
  <si>
    <t>12750</t>
  </si>
  <si>
    <t>PATRICIA MENDOZA ROMERO</t>
  </si>
  <si>
    <t>PRIV. MESTRE # 30, UNIDAD Z</t>
  </si>
  <si>
    <t>15180</t>
  </si>
  <si>
    <t>IRMA ESTELA GUTIERREZ ANGUIANO</t>
  </si>
  <si>
    <t>RINCONADA DEL BOSQUE</t>
  </si>
  <si>
    <t>RINCONADA DE HUIZACHES  # 146</t>
  </si>
  <si>
    <t>12809</t>
  </si>
  <si>
    <t>DAMAZO DANIEL NOLASCO ORTIZ</t>
  </si>
  <si>
    <t>PRIV. HAMBURGO # 2, UNIDAD R</t>
  </si>
  <si>
    <t>12874</t>
  </si>
  <si>
    <t>LLESENIA SANCHEZ ESQUIVEL</t>
  </si>
  <si>
    <t>PRIV. LYON # 1, UNIDAD A</t>
  </si>
  <si>
    <t>9874</t>
  </si>
  <si>
    <t>ROSA ESTRADA ESPINOZA</t>
  </si>
  <si>
    <t>AV. BALTAR # 604</t>
  </si>
  <si>
    <t>8318</t>
  </si>
  <si>
    <t>ESTEBAN ROMERO SANCHEZ</t>
  </si>
  <si>
    <t>LOS HEROES COACALCO IV</t>
  </si>
  <si>
    <t>CANOSAS # 47-04 MZNA. 4 LOTE 5-4</t>
  </si>
  <si>
    <t>12946</t>
  </si>
  <si>
    <t>JANETH CLEOTILDE TORRES VILLARREAL</t>
  </si>
  <si>
    <t>CEDRO  # 880</t>
  </si>
  <si>
    <t>10729</t>
  </si>
  <si>
    <t>JOSE ALFONSO BAYON RIOS</t>
  </si>
  <si>
    <t>C. RINCONADA RELAMPAGO ESQ. COPAN NORTE, TORRE "A", DEPTO. 402  # LOTE 20</t>
  </si>
  <si>
    <t>10496</t>
  </si>
  <si>
    <t>JOAQUIN ARCE YEPIZ</t>
  </si>
  <si>
    <t>REFORMA</t>
  </si>
  <si>
    <t>AV. JUAN CARRASCO  # 815</t>
  </si>
  <si>
    <t>3000000180766</t>
  </si>
  <si>
    <t>LUIS ALBERTO CHAVEZ CORTES</t>
  </si>
  <si>
    <t>RIVADA LOS HEROES COACALCO</t>
  </si>
  <si>
    <t>HIGUERAS</t>
  </si>
  <si>
    <t>8603</t>
  </si>
  <si>
    <t>JUAN GUILLERMO VILLA RAMIREZ</t>
  </si>
  <si>
    <t>JARDINES DE SAN MIGUEL</t>
  </si>
  <si>
    <t>ARROYO DE SAN PABLO # 66-A</t>
  </si>
  <si>
    <t>12815</t>
  </si>
  <si>
    <t>GREGORIO MENDOZA CUADROS</t>
  </si>
  <si>
    <t>PRIV. HAMBURGO # 11, UNIDAD F</t>
  </si>
  <si>
    <t>9645</t>
  </si>
  <si>
    <t>ALEJANDRO ARTURO CERVANTES SILVA</t>
  </si>
  <si>
    <t>PRIV. TRENTO # 5, UNIDAD C</t>
  </si>
  <si>
    <t>9685</t>
  </si>
  <si>
    <t>CLAUDIA RAMIREZ HERNANDEZ</t>
  </si>
  <si>
    <t>PRIV. TRENTO # 2, UNIDAD T</t>
  </si>
  <si>
    <t>12760</t>
  </si>
  <si>
    <t>ARMANDO VICTORIA AGUILAR</t>
  </si>
  <si>
    <t>PRIV. LYON # 6, UNIDAD AA</t>
  </si>
  <si>
    <t>12826</t>
  </si>
  <si>
    <t>JAIME GRANADOS CRUZ</t>
  </si>
  <si>
    <t>PRIV. HAMBURGO # 13, UNIDAD G</t>
  </si>
  <si>
    <t>13541</t>
  </si>
  <si>
    <t>FRANCISCA YOLANDA SILVA GONZALEZ</t>
  </si>
  <si>
    <t>JARDINES DE SANTA ROSA</t>
  </si>
  <si>
    <t>5TA CERRADA DE SANTA CLARA  # 5-A</t>
  </si>
  <si>
    <t>12814</t>
  </si>
  <si>
    <t>MILENKO ALDEMAR MORENO VILLASEÑOR</t>
  </si>
  <si>
    <t>PRIV. HAMBURGO # 1, UNIDAD A</t>
  </si>
  <si>
    <t>12823</t>
  </si>
  <si>
    <t>MARTHA PATRICIA HERNANDEZ MORALES</t>
  </si>
  <si>
    <t>PRIV. HAMBURGO # 12, UNIDAD M</t>
  </si>
  <si>
    <t>9750</t>
  </si>
  <si>
    <t>ROSS MERY RINCON PENAGOS</t>
  </si>
  <si>
    <t>PRIV. PADUA # 15, UNIDAD H</t>
  </si>
  <si>
    <t>11615</t>
  </si>
  <si>
    <t>ROBERTO CARLOS GUTIEREZ REQUENA</t>
  </si>
  <si>
    <t>PRIV. NAVIA  # 10, UNIDAD L</t>
  </si>
  <si>
    <t>12914</t>
  </si>
  <si>
    <t>MARIA TERESA ORTUÑO ARZATE</t>
  </si>
  <si>
    <t>PRIV. CALAF # 1, UNIDAD A</t>
  </si>
  <si>
    <t>9649</t>
  </si>
  <si>
    <t>GABRIEL OCAMPO URIBE</t>
  </si>
  <si>
    <t>PRIV. SORIA # 7, UNIDAD D</t>
  </si>
  <si>
    <t>8345</t>
  </si>
  <si>
    <t>ALICIA BELTRAN SANCHEZ</t>
  </si>
  <si>
    <t>LOS HEROES COACALCO VII</t>
  </si>
  <si>
    <t>HIGUERAS # 39-51 MZNA. 4- LOTE 60-51</t>
  </si>
  <si>
    <t>8190</t>
  </si>
  <si>
    <t>FRANCISCA JOSEFINA ROSALIA RAMIREZ HUERTA</t>
  </si>
  <si>
    <t>HIGUERAS # 39-29 MZNA. 4 LOTE 60-29</t>
  </si>
  <si>
    <t>9732</t>
  </si>
  <si>
    <t>AURORA VALLE RODRIGUEZ</t>
  </si>
  <si>
    <t>PRIV. PISA # 7, UNIDAD D</t>
  </si>
  <si>
    <t>8327</t>
  </si>
  <si>
    <t>ROBERTO ALFONSO RODRIGUEZ GARAY</t>
  </si>
  <si>
    <t>HIGUERAS # 13-46 MZNA. 4 LOTE 47-46</t>
  </si>
  <si>
    <t>9653</t>
  </si>
  <si>
    <t>JOSE ALEJANDRO PEREZ BERBER</t>
  </si>
  <si>
    <t>PRIV. TRENTO # 16, UNIDAD M</t>
  </si>
  <si>
    <t>8336</t>
  </si>
  <si>
    <t>MARIA DE LOURDES JUAREZ SARMIENTO</t>
  </si>
  <si>
    <t>ARRAYANES # 8-01 MZNA. 4 LOTE 29-1</t>
  </si>
  <si>
    <t>11250</t>
  </si>
  <si>
    <t>Honorario Gestiones Registro Público</t>
  </si>
  <si>
    <t>Honorario Gestiones por Obtencion de CLG</t>
  </si>
  <si>
    <t>Copias certificadas - Fideicomisos</t>
  </si>
  <si>
    <t>Copias certificadas - Poderes</t>
  </si>
  <si>
    <t>Exhorto para notificar a tercer acreedor SHF</t>
  </si>
  <si>
    <t>0FFB315E489C</t>
  </si>
  <si>
    <t>0FA0EAE94D0D</t>
  </si>
  <si>
    <t>D7D443D136EF</t>
  </si>
  <si>
    <t>CFB41430281D</t>
  </si>
  <si>
    <t>EA3DC2D09C86</t>
  </si>
  <si>
    <t>D43475493267</t>
  </si>
  <si>
    <t>47254BBDAD52</t>
  </si>
  <si>
    <t>AVISO POR ESCRITO CON CARTA O EDO DE CTA.</t>
  </si>
  <si>
    <t>Avance</t>
  </si>
  <si>
    <t>ACLARACION</t>
  </si>
  <si>
    <t>NOTIFICACION CESION POR FEDATARIO</t>
  </si>
  <si>
    <t>Notificacion. Recepcion de Acta</t>
  </si>
  <si>
    <t>PROBLEMAS DE SALUD</t>
  </si>
  <si>
    <r>
      <t>2. Para este periodo los intereses por pagar al IFC  equivalen a</t>
    </r>
    <r>
      <rPr>
        <b/>
        <sz val="9"/>
        <color theme="1"/>
        <rFont val="Calibri"/>
        <family val="2"/>
        <scheme val="minor"/>
      </rPr>
      <t xml:space="preserve"> $ 235,981.82</t>
    </r>
    <r>
      <rPr>
        <sz val="9"/>
        <color theme="1"/>
        <rFont val="Calibri"/>
        <family val="2"/>
        <scheme val="minor"/>
      </rPr>
      <t xml:space="preserve"> mismos que están calculados sobre un monto de </t>
    </r>
    <r>
      <rPr>
        <b/>
        <sz val="9"/>
        <color theme="1"/>
        <rFont val="Calibri"/>
        <family val="2"/>
        <scheme val="minor"/>
      </rPr>
      <t>$27´945,216.10</t>
    </r>
    <r>
      <rPr>
        <sz val="9"/>
        <color theme="1"/>
        <rFont val="Calibri"/>
        <family val="2"/>
        <scheme val="minor"/>
      </rPr>
      <t xml:space="preserve"> a una tasa de interés del 9.5% anual. </t>
    </r>
  </si>
  <si>
    <t xml:space="preserve">1. La situación general de este Fideicomiso es el 51.75 (74 créditos) en cartera vigente,  la cartera vencida comprenden 69 créditos, que representan aquellos que tienen cuatro o mas meses vencidos, situámdose en un 48.25%. </t>
  </si>
  <si>
    <r>
      <t xml:space="preserve">3. Al cierre de julio y con base en los Flujos obtenidos, se está pronosticado el pago al adeudo de los Honorarios legales de García Alcocer la cantidad de </t>
    </r>
    <r>
      <rPr>
        <b/>
        <sz val="9"/>
        <color theme="1"/>
        <rFont val="Calibri"/>
        <family val="2"/>
        <scheme val="minor"/>
      </rPr>
      <t>$6,321.77,</t>
    </r>
    <r>
      <rPr>
        <sz val="9"/>
        <color theme="1"/>
        <rFont val="Calibri"/>
        <family val="2"/>
        <scheme val="minor"/>
      </rPr>
      <t xml:space="preserve"> para posteriormente ser reembolsados por el Administrador Maestro a las cuentas del Fideicomiso, teniendo como resultado al cierre del mes, el</t>
    </r>
    <r>
      <rPr>
        <b/>
        <sz val="9"/>
        <color theme="1"/>
        <rFont val="Calibri"/>
        <family val="2"/>
        <scheme val="minor"/>
      </rPr>
      <t xml:space="preserve"> saldo del adeudo es por $2´299,134.72</t>
    </r>
  </si>
  <si>
    <r>
      <t xml:space="preserve">1. En este periodo se está autorizando el reembolso al Administrador Primario por la cantidad </t>
    </r>
    <r>
      <rPr>
        <b/>
        <sz val="9"/>
        <color rgb="FF000000"/>
        <rFont val="Calibri"/>
        <family val="2"/>
        <scheme val="minor"/>
      </rPr>
      <t>$ 7,707.04</t>
    </r>
    <r>
      <rPr>
        <sz val="9"/>
        <color indexed="8"/>
        <rFont val="Calibri"/>
        <family val="2"/>
        <scheme val="minor"/>
      </rPr>
      <t xml:space="preserve"> por concepto de Gastos de Cobranza y Avances Legales.</t>
    </r>
  </si>
  <si>
    <t>2. La cartera vencida de cuatro y más meses vencidos, cuenta con 69 créditos, este universo ocupa el 48.25% de la totalidad de la cartera activa. Los niveles de demanda para esta cartera se sitúa en niveles del 84%, mientras que el 16% restante se encuentra clasificado como "No Demandado", este universo de doce créditos presenta una morosidad promedio de 19 meses vencidos.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</si>
</sst>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%"/>
    <numFmt numFmtId="167" formatCode="mmmm\-yy"/>
    <numFmt numFmtId="168" formatCode="[$-10409]#,##0.000000;\(#,##0.000000\)"/>
    <numFmt numFmtId="169" formatCode="[$-10409]#,##0;\(#,##0\)"/>
    <numFmt numFmtId="170" formatCode="[$-10409]#,##0.00;\(#,##0.00\)"/>
    <numFmt numFmtId="171" formatCode="[$-10409]0.00%"/>
    <numFmt numFmtId="172" formatCode="[$-10409]#,##0.00000;\(#,##0.00000\)"/>
    <numFmt numFmtId="173" formatCode="0.000000"/>
    <numFmt numFmtId="174" formatCode="#,##0.00_ ;\-#,##0.00\ "/>
    <numFmt numFmtId="175" formatCode="_-* #,##0.000000_-;\-* #,##0.000000_-;_-* &quot;-&quot;??????_-;_-@_-"/>
    <numFmt numFmtId="176" formatCode="#,##0.00%"/>
    <numFmt numFmtId="177" formatCode="#,##0_ ;\-#,##0\ "/>
    <numFmt numFmtId="178" formatCode="_(* #,##0_);_(* \(#,##0\);_(* &quot;-&quot;??_);_(@_)"/>
    <numFmt numFmtId="179" formatCode="_-* #,##0.00\ _€_-;\-* #,##0.00\ _€_-;_-* &quot;-&quot;??\ _€_-;_-@_-"/>
    <numFmt numFmtId="180" formatCode="dd/mm/yyyy;@"/>
    <numFmt numFmtId="181" formatCode="_-* #,##0.00_-;\-* #,##0.00_-;_-* &quot;-&quot;??_-;_-@"/>
    <numFmt numFmtId="182" formatCode="_-* #,##0.000000_-;\-* #,##0.000000_-;_-* &quot;-&quot;??_-;_-@"/>
    <numFmt numFmtId="183" formatCode="[$-10409]#,##0.00;#,##0.00"/>
    <numFmt numFmtId="184" formatCode="#,##0.000000"/>
    <numFmt numFmtId="185" formatCode="0.0000%"/>
    <numFmt numFmtId="186" formatCode="&quot;$&quot;#,##0.00"/>
    <numFmt numFmtId="187" formatCode="0.0%"/>
    <numFmt numFmtId="188" formatCode="#,##0.000000_ ;\-#,##0.000000\ "/>
    <numFmt numFmtId="189" formatCode="_-* #,##0.0000_-;\-* #,##0.0000_-;_-* &quot;-&quot;??_-;_-@_-"/>
    <numFmt numFmtId="190" formatCode="mm\/dd\/yyyy"/>
    <numFmt numFmtId="191" formatCode="_-* #,##0.000000_-;\-* #,##0.000000_-;_-* &quot;-&quot;??_-;_-@_-"/>
  </numFmts>
  <fonts count="1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62"/>
      <name val="Arial"/>
      <family val="2"/>
    </font>
    <font>
      <b/>
      <sz val="10"/>
      <color theme="0"/>
      <name val="Arial Narrow"/>
      <family val="2"/>
    </font>
    <font>
      <b/>
      <sz val="10"/>
      <color indexed="18"/>
      <name val="Arial Narrow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6"/>
      <color rgb="FFFF0000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0" tint="-0.34998626667073579"/>
      <name val="Arial Narrow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b/>
      <sz val="8.5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0"/>
      <color theme="1"/>
      <name val="Arial Narrow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indexed="8"/>
      <name val="Arial"/>
      <family val="2"/>
    </font>
    <font>
      <b/>
      <sz val="9"/>
      <color indexed="8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4" tint="0.59999389629810485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0" tint="-0.3499862666707357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2"/>
      <color rgb="FF000000"/>
      <name val="Arial"/>
      <family val="2"/>
    </font>
    <font>
      <sz val="8"/>
      <color theme="0" tint="-0.34998626667073579"/>
      <name val="Arial Narrow"/>
      <family val="2"/>
    </font>
    <font>
      <sz val="8"/>
      <name val="Arial Narrow"/>
      <family val="2"/>
    </font>
    <font>
      <sz val="8"/>
      <color rgb="FF000000"/>
      <name val="Arial"/>
      <family val="2"/>
    </font>
    <font>
      <sz val="10"/>
      <color indexed="18"/>
      <name val="Arial Narrow"/>
      <family val="2"/>
    </font>
    <font>
      <sz val="8"/>
      <color rgb="FFFF0000"/>
      <name val="Arial Narrow"/>
      <family val="2"/>
    </font>
    <font>
      <b/>
      <sz val="11"/>
      <color rgb="FFFFFFFF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Lucida Sans"/>
      <family val="2"/>
    </font>
    <font>
      <b/>
      <sz val="9"/>
      <color theme="0"/>
      <name val="Calibri"/>
      <family val="2"/>
    </font>
    <font>
      <sz val="10"/>
      <color rgb="FF000000"/>
      <name val="Arial"/>
      <family val="2"/>
    </font>
    <font>
      <b/>
      <sz val="16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name val="Calibri"/>
      <family val="2"/>
    </font>
    <font>
      <b/>
      <sz val="8"/>
      <color indexed="8"/>
      <name val="Calibri"/>
      <family val="2"/>
    </font>
    <font>
      <b/>
      <sz val="10"/>
      <color indexed="62"/>
      <name val="Calibri"/>
      <family val="2"/>
    </font>
    <font>
      <sz val="8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62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5AA0E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29335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293352"/>
      </patternFill>
    </fill>
    <fill>
      <patternFill patternType="solid">
        <fgColor theme="4" tint="0.79998168889431442"/>
        <bgColor rgb="FFE8E8E8"/>
      </patternFill>
    </fill>
    <fill>
      <patternFill patternType="solid">
        <fgColor theme="0"/>
        <bgColor rgb="FFE8E8E8"/>
      </patternFill>
    </fill>
    <fill>
      <patternFill patternType="solid">
        <fgColor theme="0"/>
        <bgColor rgb="FF90EE90"/>
      </patternFill>
    </fill>
    <fill>
      <patternFill patternType="solid">
        <fgColor theme="0"/>
        <bgColor rgb="FF32CD32"/>
      </patternFill>
    </fill>
    <fill>
      <patternFill patternType="solid">
        <fgColor theme="8" tint="-0.499984740745262"/>
        <bgColor indexed="9"/>
      </patternFill>
    </fill>
    <fill>
      <patternFill patternType="solid">
        <fgColor theme="4" tint="-0.249977111117893"/>
        <bgColor indexed="9"/>
      </patternFill>
    </fill>
    <fill>
      <patternFill patternType="solid">
        <fgColor theme="3" tint="-0.249977111117893"/>
        <bgColor indexed="9"/>
      </patternFill>
    </fill>
    <fill>
      <patternFill patternType="solid">
        <fgColor rgb="FFE8E8E8"/>
        <bgColor rgb="FFFFFFFF"/>
      </patternFill>
    </fill>
    <fill>
      <patternFill patternType="solid">
        <fgColor rgb="FF293352"/>
        <bgColor rgb="FFFFFFFF"/>
      </patternFill>
    </fill>
    <fill>
      <patternFill patternType="solid">
        <fgColor rgb="FFA6A6A6"/>
        <bgColor rgb="FFFFFFFF"/>
      </patternFill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9"/>
      </patternFill>
    </fill>
    <fill>
      <patternFill patternType="solid">
        <fgColor rgb="FF305496"/>
        <bgColor rgb="FFFFFFFF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0.59999389629810485"/>
        <bgColor rgb="FFE8E8E8"/>
      </patternFill>
    </fill>
    <fill>
      <patternFill patternType="solid">
        <fgColor rgb="FFFFFFFF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rgb="FF293352"/>
      </patternFill>
    </fill>
    <fill>
      <patternFill patternType="solid">
        <fgColor rgb="FF5AA0E0"/>
        <bgColor rgb="FF5AA0E0"/>
      </patternFill>
    </fill>
    <fill>
      <patternFill patternType="solid">
        <fgColor theme="3" tint="-0.499984740745262"/>
        <bgColor rgb="FF1F497D"/>
      </patternFill>
    </fill>
    <fill>
      <patternFill patternType="solid">
        <fgColor theme="3" tint="-0.49998474074526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14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 style="thin">
        <color theme="0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8"/>
      </top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 style="thin">
        <color rgb="FFCAC9D9"/>
      </right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indexed="31"/>
      </left>
      <right/>
      <top style="thin">
        <color indexed="31"/>
      </top>
      <bottom style="thin">
        <color indexed="64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theme="0"/>
      </right>
      <top style="thin">
        <color indexed="31"/>
      </top>
      <bottom style="thin">
        <color indexed="31"/>
      </bottom>
      <diagonal/>
    </border>
    <border>
      <left style="thin">
        <color theme="0"/>
      </left>
      <right style="thin">
        <color theme="0"/>
      </right>
      <top style="thin">
        <color indexed="31"/>
      </top>
      <bottom style="thin">
        <color indexed="31"/>
      </bottom>
      <diagonal/>
    </border>
    <border>
      <left style="thin">
        <color theme="0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D3D3D3"/>
      </bottom>
      <diagonal/>
    </border>
    <border>
      <left style="thin">
        <color indexed="64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theme="1"/>
      </left>
      <right style="thin">
        <color theme="0"/>
      </right>
      <top style="thin">
        <color rgb="FFD3D3D3"/>
      </top>
      <bottom style="thin">
        <color rgb="FFD3D3D3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FF"/>
      </left>
      <right/>
      <top/>
      <bottom style="thin">
        <color rgb="FFCCCCFF"/>
      </bottom>
      <diagonal/>
    </border>
    <border>
      <left/>
      <right/>
      <top/>
      <bottom style="thin">
        <color rgb="FFCCCCF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rgb="FFCCCCFF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6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9" fillId="0" borderId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4" fillId="0" borderId="0"/>
    <xf numFmtId="0" fontId="25" fillId="0" borderId="0" applyBorder="0"/>
    <xf numFmtId="0" fontId="1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32" fillId="0" borderId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21" fillId="0" borderId="0"/>
    <xf numFmtId="0" fontId="24" fillId="0" borderId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61" fillId="0" borderId="0"/>
    <xf numFmtId="9" fontId="61" fillId="0" borderId="0" applyFont="0" applyFill="0" applyBorder="0" applyAlignment="0" applyProtection="0"/>
    <xf numFmtId="0" fontId="24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44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6" fillId="0" borderId="0"/>
    <xf numFmtId="9" fontId="24" fillId="0" borderId="0" applyFont="0" applyFill="0" applyBorder="0" applyAlignment="0" applyProtection="0"/>
    <xf numFmtId="0" fontId="80" fillId="0" borderId="0"/>
    <xf numFmtId="0" fontId="82" fillId="0" borderId="0"/>
    <xf numFmtId="43" fontId="82" fillId="0" borderId="0" applyFont="0" applyFill="0" applyBorder="0" applyAlignment="0" applyProtection="0"/>
    <xf numFmtId="0" fontId="113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20" fillId="0" borderId="0"/>
    <xf numFmtId="0" fontId="121" fillId="0" borderId="0"/>
    <xf numFmtId="0" fontId="122" fillId="0" borderId="0"/>
    <xf numFmtId="0" fontId="124" fillId="0" borderId="0"/>
    <xf numFmtId="0" fontId="2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0">
    <xf numFmtId="0" fontId="0" fillId="0" borderId="0" xfId="0"/>
    <xf numFmtId="0" fontId="1" fillId="0" borderId="0" xfId="1" applyAlignment="1"/>
    <xf numFmtId="0" fontId="4" fillId="0" borderId="0" xfId="1" applyFont="1" applyAlignment="1"/>
    <xf numFmtId="0" fontId="6" fillId="0" borderId="0" xfId="1" applyFont="1" applyAlignment="1">
      <alignment horizontal="center"/>
    </xf>
    <xf numFmtId="4" fontId="4" fillId="0" borderId="0" xfId="1" applyNumberFormat="1" applyFont="1" applyAlignment="1"/>
    <xf numFmtId="4" fontId="7" fillId="0" borderId="0" xfId="1" applyNumberFormat="1" applyFont="1" applyAlignment="1"/>
    <xf numFmtId="4" fontId="8" fillId="3" borderId="3" xfId="1" applyNumberFormat="1" applyFont="1" applyFill="1" applyBorder="1" applyAlignment="1">
      <alignment horizontal="center"/>
    </xf>
    <xf numFmtId="0" fontId="9" fillId="0" borderId="3" xfId="1" applyFont="1" applyBorder="1" applyAlignment="1">
      <alignment horizontal="right"/>
    </xf>
    <xf numFmtId="4" fontId="4" fillId="0" borderId="3" xfId="1" applyNumberFormat="1" applyFont="1" applyBorder="1" applyAlignment="1"/>
    <xf numFmtId="0" fontId="9" fillId="5" borderId="3" xfId="1" applyFont="1" applyFill="1" applyBorder="1" applyAlignment="1">
      <alignment horizontal="right"/>
    </xf>
    <xf numFmtId="4" fontId="4" fillId="5" borderId="3" xfId="1" applyNumberFormat="1" applyFont="1" applyFill="1" applyBorder="1" applyAlignment="1"/>
    <xf numFmtId="0" fontId="5" fillId="0" borderId="0" xfId="1" applyFont="1" applyAlignment="1">
      <alignment horizontal="right"/>
    </xf>
    <xf numFmtId="4" fontId="8" fillId="3" borderId="4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right"/>
    </xf>
    <xf numFmtId="0" fontId="9" fillId="5" borderId="1" xfId="1" applyFont="1" applyFill="1" applyBorder="1" applyAlignment="1">
      <alignment horizontal="right"/>
    </xf>
    <xf numFmtId="4" fontId="11" fillId="5" borderId="3" xfId="1" applyNumberFormat="1" applyFont="1" applyFill="1" applyBorder="1" applyAlignment="1">
      <alignment horizontal="right" wrapText="1"/>
    </xf>
    <xf numFmtId="43" fontId="1" fillId="0" borderId="0" xfId="24" applyFont="1"/>
    <xf numFmtId="0" fontId="5" fillId="0" borderId="0" xfId="1" applyFont="1" applyAlignment="1">
      <alignment horizontal="center"/>
    </xf>
    <xf numFmtId="0" fontId="26" fillId="0" borderId="0" xfId="0" applyFont="1" applyAlignment="1">
      <alignment vertical="center"/>
    </xf>
    <xf numFmtId="43" fontId="0" fillId="0" borderId="0" xfId="0" applyNumberFormat="1"/>
    <xf numFmtId="43" fontId="0" fillId="0" borderId="0" xfId="24" applyFont="1"/>
    <xf numFmtId="0" fontId="1" fillId="0" borderId="0" xfId="8"/>
    <xf numFmtId="43" fontId="22" fillId="0" borderId="5" xfId="24" applyFont="1" applyBorder="1" applyAlignment="1">
      <alignment horizontal="right"/>
    </xf>
    <xf numFmtId="164" fontId="10" fillId="0" borderId="5" xfId="5" applyFont="1" applyBorder="1" applyAlignment="1">
      <alignment horizontal="right"/>
    </xf>
    <xf numFmtId="164" fontId="10" fillId="0" borderId="5" xfId="6" applyFont="1" applyBorder="1" applyAlignment="1">
      <alignment horizontal="right"/>
    </xf>
    <xf numFmtId="4" fontId="33" fillId="12" borderId="7" xfId="33" applyNumberFormat="1" applyFont="1" applyFill="1" applyBorder="1" applyAlignment="1">
      <alignment horizontal="right"/>
    </xf>
    <xf numFmtId="164" fontId="28" fillId="7" borderId="5" xfId="2" applyFont="1" applyFill="1" applyBorder="1" applyAlignment="1">
      <alignment horizontal="right"/>
    </xf>
    <xf numFmtId="0" fontId="30" fillId="2" borderId="0" xfId="28" applyFont="1" applyFill="1"/>
    <xf numFmtId="0" fontId="35" fillId="2" borderId="0" xfId="28" applyFont="1" applyFill="1" applyAlignment="1">
      <alignment vertical="center" wrapText="1" readingOrder="1"/>
    </xf>
    <xf numFmtId="0" fontId="35" fillId="2" borderId="0" xfId="28" applyFont="1" applyFill="1" applyAlignment="1">
      <alignment vertical="top" wrapText="1" readingOrder="1"/>
    </xf>
    <xf numFmtId="0" fontId="30" fillId="13" borderId="0" xfId="28" applyFont="1" applyFill="1"/>
    <xf numFmtId="0" fontId="30" fillId="2" borderId="0" xfId="28" applyFont="1" applyFill="1" applyAlignment="1">
      <alignment horizontal="center"/>
    </xf>
    <xf numFmtId="0" fontId="35" fillId="2" borderId="0" xfId="28" applyFont="1" applyFill="1" applyAlignment="1">
      <alignment horizontal="center" vertical="center" wrapText="1" readingOrder="1"/>
    </xf>
    <xf numFmtId="0" fontId="30" fillId="2" borderId="8" xfId="28" applyFont="1" applyFill="1" applyBorder="1"/>
    <xf numFmtId="0" fontId="33" fillId="2" borderId="0" xfId="28" applyFont="1" applyFill="1" applyAlignment="1">
      <alignment vertical="top" wrapText="1" readingOrder="1"/>
    </xf>
    <xf numFmtId="168" fontId="35" fillId="2" borderId="0" xfId="0" applyNumberFormat="1" applyFont="1" applyFill="1" applyAlignment="1">
      <alignment horizontal="center" vertical="top" wrapText="1" readingOrder="1"/>
    </xf>
    <xf numFmtId="169" fontId="35" fillId="2" borderId="0" xfId="50" applyNumberFormat="1" applyFont="1" applyFill="1" applyAlignment="1">
      <alignment vertical="top" wrapText="1" readingOrder="1"/>
    </xf>
    <xf numFmtId="0" fontId="35" fillId="2" borderId="9" xfId="28" applyFont="1" applyFill="1" applyBorder="1" applyAlignment="1">
      <alignment vertical="center" wrapText="1" readingOrder="1"/>
    </xf>
    <xf numFmtId="0" fontId="36" fillId="14" borderId="10" xfId="28" applyFont="1" applyFill="1" applyBorder="1" applyAlignment="1">
      <alignment vertical="top" readingOrder="1"/>
    </xf>
    <xf numFmtId="0" fontId="36" fillId="14" borderId="0" xfId="28" applyFont="1" applyFill="1" applyAlignment="1">
      <alignment vertical="top" wrapText="1" readingOrder="1"/>
    </xf>
    <xf numFmtId="0" fontId="37" fillId="14" borderId="11" xfId="28" applyFont="1" applyFill="1" applyBorder="1" applyAlignment="1">
      <alignment vertical="top" wrapText="1" readingOrder="1"/>
    </xf>
    <xf numFmtId="168" fontId="35" fillId="2" borderId="0" xfId="50" applyNumberFormat="1" applyFont="1" applyFill="1" applyAlignment="1">
      <alignment vertical="top" wrapText="1" readingOrder="1"/>
    </xf>
    <xf numFmtId="0" fontId="33" fillId="2" borderId="6" xfId="28" applyFont="1" applyFill="1" applyBorder="1" applyAlignment="1">
      <alignment vertical="top" wrapText="1" readingOrder="1"/>
    </xf>
    <xf numFmtId="4" fontId="33" fillId="2" borderId="6" xfId="28" applyNumberFormat="1" applyFont="1" applyFill="1" applyBorder="1" applyAlignment="1">
      <alignment vertical="top" wrapText="1" readingOrder="1"/>
    </xf>
    <xf numFmtId="4" fontId="30" fillId="2" borderId="6" xfId="28" applyNumberFormat="1" applyFont="1" applyFill="1" applyBorder="1"/>
    <xf numFmtId="43" fontId="30" fillId="2" borderId="0" xfId="24" applyFont="1" applyFill="1"/>
    <xf numFmtId="0" fontId="33" fillId="0" borderId="12" xfId="28" applyFont="1" applyBorder="1" applyAlignment="1">
      <alignment vertical="top" readingOrder="1"/>
    </xf>
    <xf numFmtId="0" fontId="33" fillId="0" borderId="12" xfId="28" applyFont="1" applyBorder="1" applyAlignment="1">
      <alignment vertical="top" wrapText="1" readingOrder="1"/>
    </xf>
    <xf numFmtId="170" fontId="33" fillId="0" borderId="12" xfId="50" applyNumberFormat="1" applyFont="1" applyBorder="1" applyAlignment="1">
      <alignment vertical="top" wrapText="1" readingOrder="1"/>
    </xf>
    <xf numFmtId="170" fontId="33" fillId="0" borderId="12" xfId="14" applyNumberFormat="1" applyFont="1" applyBorder="1" applyAlignment="1">
      <alignment vertical="top" wrapText="1" readingOrder="1"/>
    </xf>
    <xf numFmtId="170" fontId="33" fillId="2" borderId="0" xfId="50" applyNumberFormat="1" applyFont="1" applyFill="1" applyAlignment="1">
      <alignment vertical="top" wrapText="1" readingOrder="1"/>
    </xf>
    <xf numFmtId="0" fontId="30" fillId="2" borderId="6" xfId="28" applyFont="1" applyFill="1" applyBorder="1"/>
    <xf numFmtId="170" fontId="30" fillId="2" borderId="6" xfId="28" applyNumberFormat="1" applyFont="1" applyFill="1" applyBorder="1"/>
    <xf numFmtId="170" fontId="33" fillId="0" borderId="14" xfId="0" applyNumberFormat="1" applyFont="1" applyBorder="1" applyAlignment="1">
      <alignment horizontal="right" vertical="top" wrapText="1" readingOrder="1"/>
    </xf>
    <xf numFmtId="170" fontId="33" fillId="2" borderId="6" xfId="50" applyNumberFormat="1" applyFont="1" applyFill="1" applyBorder="1" applyAlignment="1">
      <alignment vertical="top" wrapText="1" readingOrder="1"/>
    </xf>
    <xf numFmtId="170" fontId="30" fillId="2" borderId="6" xfId="50" applyNumberFormat="1" applyFont="1" applyFill="1" applyBorder="1" applyAlignment="1">
      <alignment vertical="top" wrapText="1" readingOrder="1"/>
    </xf>
    <xf numFmtId="170" fontId="33" fillId="0" borderId="12" xfId="28" applyNumberFormat="1" applyFont="1" applyBorder="1" applyAlignment="1">
      <alignment vertical="top" wrapText="1" readingOrder="1"/>
    </xf>
    <xf numFmtId="43" fontId="30" fillId="2" borderId="6" xfId="28" applyNumberFormat="1" applyFont="1" applyFill="1" applyBorder="1"/>
    <xf numFmtId="0" fontId="33" fillId="15" borderId="16" xfId="28" applyFont="1" applyFill="1" applyBorder="1" applyAlignment="1">
      <alignment vertical="top" readingOrder="1"/>
    </xf>
    <xf numFmtId="170" fontId="33" fillId="15" borderId="12" xfId="28" applyNumberFormat="1" applyFont="1" applyFill="1" applyBorder="1" applyAlignment="1">
      <alignment vertical="top" wrapText="1" readingOrder="1"/>
    </xf>
    <xf numFmtId="0" fontId="36" fillId="14" borderId="12" xfId="28" applyFont="1" applyFill="1" applyBorder="1" applyAlignment="1">
      <alignment vertical="top" readingOrder="1"/>
    </xf>
    <xf numFmtId="0" fontId="36" fillId="14" borderId="15" xfId="28" applyFont="1" applyFill="1" applyBorder="1" applyAlignment="1">
      <alignment vertical="top" wrapText="1" readingOrder="1"/>
    </xf>
    <xf numFmtId="4" fontId="37" fillId="14" borderId="15" xfId="28" applyNumberFormat="1" applyFont="1" applyFill="1" applyBorder="1" applyAlignment="1">
      <alignment vertical="top" wrapText="1" readingOrder="1"/>
    </xf>
    <xf numFmtId="0" fontId="29" fillId="2" borderId="0" xfId="28" applyFont="1" applyFill="1"/>
    <xf numFmtId="0" fontId="33" fillId="0" borderId="20" xfId="28" applyFont="1" applyBorder="1" applyAlignment="1">
      <alignment vertical="top" readingOrder="1"/>
    </xf>
    <xf numFmtId="0" fontId="33" fillId="0" borderId="15" xfId="28" applyFont="1" applyBorder="1" applyAlignment="1">
      <alignment vertical="top" wrapText="1" readingOrder="1"/>
    </xf>
    <xf numFmtId="170" fontId="33" fillId="0" borderId="14" xfId="14" applyNumberFormat="1" applyFont="1" applyBorder="1" applyAlignment="1">
      <alignment horizontal="right" vertical="top" wrapText="1" readingOrder="1"/>
    </xf>
    <xf numFmtId="0" fontId="33" fillId="15" borderId="12" xfId="28" applyFont="1" applyFill="1" applyBorder="1" applyAlignment="1">
      <alignment vertical="top" readingOrder="1"/>
    </xf>
    <xf numFmtId="0" fontId="33" fillId="15" borderId="12" xfId="28" applyFont="1" applyFill="1" applyBorder="1" applyAlignment="1">
      <alignment vertical="top" wrapText="1" readingOrder="1"/>
    </xf>
    <xf numFmtId="170" fontId="33" fillId="15" borderId="12" xfId="50" applyNumberFormat="1" applyFont="1" applyFill="1" applyBorder="1" applyAlignment="1">
      <alignment vertical="top" wrapText="1" readingOrder="1"/>
    </xf>
    <xf numFmtId="170" fontId="30" fillId="2" borderId="0" xfId="50" applyNumberFormat="1" applyFont="1" applyFill="1" applyAlignment="1">
      <alignment vertical="top" wrapText="1" readingOrder="1"/>
    </xf>
    <xf numFmtId="43" fontId="29" fillId="2" borderId="0" xfId="28" applyNumberFormat="1" applyFont="1" applyFill="1"/>
    <xf numFmtId="170" fontId="33" fillId="0" borderId="12" xfId="0" applyNumberFormat="1" applyFont="1" applyBorder="1" applyAlignment="1">
      <alignment horizontal="right" vertical="top" wrapText="1" readingOrder="1"/>
    </xf>
    <xf numFmtId="170" fontId="27" fillId="2" borderId="0" xfId="50" applyNumberFormat="1" applyFont="1" applyFill="1" applyAlignment="1">
      <alignment vertical="top" wrapText="1" readingOrder="1"/>
    </xf>
    <xf numFmtId="0" fontId="37" fillId="14" borderId="15" xfId="28" applyFont="1" applyFill="1" applyBorder="1" applyAlignment="1">
      <alignment vertical="top" wrapText="1" readingOrder="1"/>
    </xf>
    <xf numFmtId="0" fontId="37" fillId="2" borderId="0" xfId="28" applyFont="1" applyFill="1" applyAlignment="1">
      <alignment vertical="top" wrapText="1" readingOrder="1"/>
    </xf>
    <xf numFmtId="0" fontId="33" fillId="0" borderId="21" xfId="28" applyFont="1" applyBorder="1" applyAlignment="1">
      <alignment vertical="top" wrapText="1" readingOrder="1"/>
    </xf>
    <xf numFmtId="170" fontId="33" fillId="16" borderId="12" xfId="28" applyNumberFormat="1" applyFont="1" applyFill="1" applyBorder="1" applyAlignment="1">
      <alignment vertical="top" wrapText="1" readingOrder="1"/>
    </xf>
    <xf numFmtId="0" fontId="36" fillId="14" borderId="12" xfId="28" applyFont="1" applyFill="1" applyBorder="1" applyAlignment="1">
      <alignment vertical="top" wrapText="1" readingOrder="1"/>
    </xf>
    <xf numFmtId="0" fontId="33" fillId="2" borderId="12" xfId="28" applyFont="1" applyFill="1" applyBorder="1" applyAlignment="1">
      <alignment vertical="top" readingOrder="1"/>
    </xf>
    <xf numFmtId="0" fontId="33" fillId="2" borderId="12" xfId="28" applyFont="1" applyFill="1" applyBorder="1" applyAlignment="1">
      <alignment vertical="top" wrapText="1" readingOrder="1"/>
    </xf>
    <xf numFmtId="170" fontId="33" fillId="2" borderId="12" xfId="50" applyNumberFormat="1" applyFont="1" applyFill="1" applyBorder="1" applyAlignment="1">
      <alignment vertical="top" wrapText="1" readingOrder="1"/>
    </xf>
    <xf numFmtId="170" fontId="33" fillId="2" borderId="12" xfId="28" applyNumberFormat="1" applyFont="1" applyFill="1" applyBorder="1" applyAlignment="1">
      <alignment vertical="top" wrapText="1" readingOrder="1"/>
    </xf>
    <xf numFmtId="0" fontId="33" fillId="17" borderId="12" xfId="28" applyFont="1" applyFill="1" applyBorder="1" applyAlignment="1">
      <alignment vertical="top" readingOrder="1"/>
    </xf>
    <xf numFmtId="0" fontId="33" fillId="17" borderId="12" xfId="28" applyFont="1" applyFill="1" applyBorder="1" applyAlignment="1">
      <alignment vertical="top" wrapText="1" readingOrder="1"/>
    </xf>
    <xf numFmtId="170" fontId="33" fillId="18" borderId="12" xfId="50" applyNumberFormat="1" applyFont="1" applyFill="1" applyBorder="1" applyAlignment="1">
      <alignment vertical="top" wrapText="1" readingOrder="1"/>
    </xf>
    <xf numFmtId="0" fontId="33" fillId="2" borderId="20" xfId="28" applyFont="1" applyFill="1" applyBorder="1" applyAlignment="1">
      <alignment vertical="top" readingOrder="1"/>
    </xf>
    <xf numFmtId="0" fontId="33" fillId="2" borderId="15" xfId="28" applyFont="1" applyFill="1" applyBorder="1" applyAlignment="1">
      <alignment vertical="top" wrapText="1" readingOrder="1"/>
    </xf>
    <xf numFmtId="43" fontId="23" fillId="2" borderId="0" xfId="28" applyNumberFormat="1" applyFont="1" applyFill="1" applyAlignment="1">
      <alignment horizontal="center"/>
    </xf>
    <xf numFmtId="0" fontId="23" fillId="2" borderId="0" xfId="28" applyFont="1" applyFill="1" applyAlignment="1">
      <alignment horizontal="center"/>
    </xf>
    <xf numFmtId="43" fontId="42" fillId="2" borderId="0" xfId="24" applyFont="1" applyFill="1"/>
    <xf numFmtId="0" fontId="42" fillId="2" borderId="0" xfId="28" applyFont="1" applyFill="1"/>
    <xf numFmtId="44" fontId="30" fillId="2" borderId="0" xfId="48" applyFont="1" applyFill="1"/>
    <xf numFmtId="170" fontId="13" fillId="0" borderId="0" xfId="50" applyNumberFormat="1" applyFont="1" applyAlignment="1">
      <alignment vertical="top" wrapText="1" readingOrder="1"/>
    </xf>
    <xf numFmtId="170" fontId="24" fillId="0" borderId="0" xfId="50" applyNumberFormat="1" applyFont="1" applyAlignment="1">
      <alignment vertical="top" wrapText="1" readingOrder="1"/>
    </xf>
    <xf numFmtId="44" fontId="1" fillId="0" borderId="0" xfId="48" applyFont="1" applyAlignment="1">
      <alignment horizontal="center" vertical="center" wrapText="1" readingOrder="1"/>
    </xf>
    <xf numFmtId="0" fontId="18" fillId="14" borderId="12" xfId="28" applyFont="1" applyFill="1" applyBorder="1" applyAlignment="1">
      <alignment vertical="center" wrapText="1" readingOrder="1"/>
    </xf>
    <xf numFmtId="0" fontId="18" fillId="14" borderId="14" xfId="28" applyFont="1" applyFill="1" applyBorder="1" applyAlignment="1">
      <alignment horizontal="center" vertical="center" wrapText="1" readingOrder="1"/>
    </xf>
    <xf numFmtId="169" fontId="33" fillId="0" borderId="14" xfId="0" applyNumberFormat="1" applyFont="1" applyBorder="1" applyAlignment="1">
      <alignment vertical="top" wrapText="1" readingOrder="1"/>
    </xf>
    <xf numFmtId="170" fontId="33" fillId="0" borderId="14" xfId="0" applyNumberFormat="1" applyFont="1" applyBorder="1" applyAlignment="1">
      <alignment vertical="top" wrapText="1" readingOrder="1"/>
    </xf>
    <xf numFmtId="171" fontId="33" fillId="0" borderId="14" xfId="28" applyNumberFormat="1" applyFont="1" applyBorder="1" applyAlignment="1">
      <alignment vertical="top" wrapText="1" readingOrder="1"/>
    </xf>
    <xf numFmtId="0" fontId="44" fillId="2" borderId="0" xfId="28" applyFont="1" applyFill="1"/>
    <xf numFmtId="44" fontId="44" fillId="2" borderId="0" xfId="28" applyNumberFormat="1" applyFont="1" applyFill="1"/>
    <xf numFmtId="170" fontId="42" fillId="2" borderId="0" xfId="28" applyNumberFormat="1" applyFont="1" applyFill="1"/>
    <xf numFmtId="43" fontId="44" fillId="2" borderId="0" xfId="24" applyFont="1" applyFill="1"/>
    <xf numFmtId="0" fontId="44" fillId="2" borderId="0" xfId="28" applyFont="1" applyFill="1" applyAlignment="1">
      <alignment horizontal="left" vertical="justify" wrapText="1"/>
    </xf>
    <xf numFmtId="44" fontId="44" fillId="2" borderId="0" xfId="48" applyFont="1" applyFill="1"/>
    <xf numFmtId="170" fontId="33" fillId="15" borderId="14" xfId="28" applyNumberFormat="1" applyFont="1" applyFill="1" applyBorder="1" applyAlignment="1">
      <alignment vertical="top" wrapText="1" readingOrder="1"/>
    </xf>
    <xf numFmtId="4" fontId="30" fillId="2" borderId="0" xfId="28" applyNumberFormat="1" applyFont="1" applyFill="1"/>
    <xf numFmtId="0" fontId="36" fillId="14" borderId="12" xfId="28" applyFont="1" applyFill="1" applyBorder="1" applyAlignment="1">
      <alignment vertical="center" wrapText="1" readingOrder="1"/>
    </xf>
    <xf numFmtId="0" fontId="36" fillId="14" borderId="14" xfId="28" applyFont="1" applyFill="1" applyBorder="1" applyAlignment="1">
      <alignment horizontal="center" vertical="center" wrapText="1" readingOrder="1"/>
    </xf>
    <xf numFmtId="0" fontId="33" fillId="0" borderId="13" xfId="28" applyFont="1" applyBorder="1" applyAlignment="1">
      <alignment vertical="top" wrapText="1" readingOrder="1"/>
    </xf>
    <xf numFmtId="0" fontId="33" fillId="2" borderId="14" xfId="28" applyFont="1" applyFill="1" applyBorder="1" applyAlignment="1">
      <alignment vertical="top" wrapText="1" readingOrder="1"/>
    </xf>
    <xf numFmtId="171" fontId="33" fillId="0" borderId="14" xfId="0" applyNumberFormat="1" applyFont="1" applyBorder="1" applyAlignment="1">
      <alignment vertical="top" wrapText="1" readingOrder="1"/>
    </xf>
    <xf numFmtId="43" fontId="30" fillId="2" borderId="0" xfId="28" applyNumberFormat="1" applyFont="1" applyFill="1"/>
    <xf numFmtId="43" fontId="33" fillId="2" borderId="14" xfId="24" applyFont="1" applyFill="1" applyBorder="1" applyAlignment="1">
      <alignment vertical="top" wrapText="1" readingOrder="1"/>
    </xf>
    <xf numFmtId="0" fontId="33" fillId="0" borderId="14" xfId="28" applyFont="1" applyBorder="1" applyAlignment="1">
      <alignment vertical="top" wrapText="1" readingOrder="1"/>
    </xf>
    <xf numFmtId="170" fontId="33" fillId="0" borderId="14" xfId="28" applyNumberFormat="1" applyFont="1" applyBorder="1" applyAlignment="1">
      <alignment vertical="top" wrapText="1" readingOrder="1"/>
    </xf>
    <xf numFmtId="0" fontId="37" fillId="14" borderId="12" xfId="28" applyFont="1" applyFill="1" applyBorder="1" applyAlignment="1">
      <alignment vertical="top" wrapText="1" readingOrder="1"/>
    </xf>
    <xf numFmtId="0" fontId="37" fillId="14" borderId="14" xfId="28" applyFont="1" applyFill="1" applyBorder="1" applyAlignment="1">
      <alignment vertical="top" wrapText="1" readingOrder="1"/>
    </xf>
    <xf numFmtId="0" fontId="33" fillId="0" borderId="20" xfId="28" applyFont="1" applyBorder="1" applyAlignment="1">
      <alignment vertical="top" wrapText="1" readingOrder="1"/>
    </xf>
    <xf numFmtId="165" fontId="33" fillId="0" borderId="14" xfId="24" applyNumberFormat="1" applyFont="1" applyBorder="1" applyAlignment="1">
      <alignment vertical="top" wrapText="1" readingOrder="1"/>
    </xf>
    <xf numFmtId="43" fontId="33" fillId="0" borderId="14" xfId="24" applyFont="1" applyBorder="1" applyAlignment="1">
      <alignment vertical="top" wrapText="1" readingOrder="1"/>
    </xf>
    <xf numFmtId="0" fontId="33" fillId="0" borderId="22" xfId="28" applyFont="1" applyBorder="1" applyAlignment="1">
      <alignment vertical="top" wrapText="1" readingOrder="1"/>
    </xf>
    <xf numFmtId="169" fontId="33" fillId="0" borderId="15" xfId="28" applyNumberFormat="1" applyFont="1" applyBorder="1" applyAlignment="1">
      <alignment vertical="top" wrapText="1" readingOrder="1"/>
    </xf>
    <xf numFmtId="0" fontId="37" fillId="14" borderId="23" xfId="28" applyFont="1" applyFill="1" applyBorder="1" applyAlignment="1">
      <alignment vertical="top" wrapText="1" readingOrder="1"/>
    </xf>
    <xf numFmtId="0" fontId="36" fillId="14" borderId="23" xfId="28" applyFont="1" applyFill="1" applyBorder="1" applyAlignment="1">
      <alignment vertical="top" wrapText="1" readingOrder="1"/>
    </xf>
    <xf numFmtId="0" fontId="37" fillId="14" borderId="24" xfId="28" applyFont="1" applyFill="1" applyBorder="1" applyAlignment="1">
      <alignment vertical="top" wrapText="1" readingOrder="1"/>
    </xf>
    <xf numFmtId="0" fontId="30" fillId="2" borderId="25" xfId="28" applyFont="1" applyFill="1" applyBorder="1"/>
    <xf numFmtId="0" fontId="33" fillId="0" borderId="12" xfId="28" applyFont="1" applyBorder="1" applyAlignment="1">
      <alignment horizontal="left" vertical="top" wrapText="1" readingOrder="1"/>
    </xf>
    <xf numFmtId="43" fontId="43" fillId="2" borderId="0" xfId="24" applyFont="1" applyFill="1" applyAlignment="1">
      <alignment horizontal="center" vertical="center" wrapText="1"/>
    </xf>
    <xf numFmtId="43" fontId="45" fillId="0" borderId="0" xfId="24" applyFont="1"/>
    <xf numFmtId="0" fontId="33" fillId="15" borderId="15" xfId="28" applyFont="1" applyFill="1" applyBorder="1" applyAlignment="1">
      <alignment horizontal="left" vertical="top" wrapText="1" readingOrder="1"/>
    </xf>
    <xf numFmtId="0" fontId="33" fillId="0" borderId="15" xfId="28" applyFont="1" applyBorder="1" applyAlignment="1">
      <alignment horizontal="left" vertical="top" wrapText="1" readingOrder="1"/>
    </xf>
    <xf numFmtId="170" fontId="35" fillId="15" borderId="12" xfId="28" applyNumberFormat="1" applyFont="1" applyFill="1" applyBorder="1" applyAlignment="1">
      <alignment vertical="top" wrapText="1" readingOrder="1"/>
    </xf>
    <xf numFmtId="0" fontId="35" fillId="15" borderId="12" xfId="28" applyFont="1" applyFill="1" applyBorder="1" applyAlignment="1">
      <alignment horizontal="left" vertical="top" wrapText="1" readingOrder="1"/>
    </xf>
    <xf numFmtId="172" fontId="33" fillId="2" borderId="0" xfId="50" applyNumberFormat="1" applyFont="1" applyFill="1" applyAlignment="1">
      <alignment vertical="top" wrapText="1" readingOrder="1"/>
    </xf>
    <xf numFmtId="0" fontId="30" fillId="2" borderId="26" xfId="28" applyFont="1" applyFill="1" applyBorder="1" applyAlignment="1">
      <alignment horizontal="center"/>
    </xf>
    <xf numFmtId="4" fontId="30" fillId="0" borderId="6" xfId="28" applyNumberFormat="1" applyFont="1" applyBorder="1"/>
    <xf numFmtId="4" fontId="23" fillId="2" borderId="6" xfId="28" applyNumberFormat="1" applyFont="1" applyFill="1" applyBorder="1"/>
    <xf numFmtId="0" fontId="38" fillId="2" borderId="18" xfId="28" applyFont="1" applyFill="1" applyBorder="1" applyAlignment="1">
      <alignment horizontal="left" vertical="top" wrapText="1" readingOrder="1"/>
    </xf>
    <xf numFmtId="0" fontId="38" fillId="2" borderId="19" xfId="28" applyFont="1" applyFill="1" applyBorder="1" applyAlignment="1">
      <alignment horizontal="left" vertical="top" wrapText="1" readingOrder="1"/>
    </xf>
    <xf numFmtId="169" fontId="33" fillId="0" borderId="14" xfId="0" applyNumberFormat="1" applyFont="1" applyBorder="1" applyAlignment="1">
      <alignment horizontal="center" vertical="top" wrapText="1" readingOrder="1"/>
    </xf>
    <xf numFmtId="171" fontId="33" fillId="0" borderId="12" xfId="28" applyNumberFormat="1" applyFont="1" applyBorder="1" applyAlignment="1">
      <alignment horizontal="center" vertical="top" wrapText="1" readingOrder="1"/>
    </xf>
    <xf numFmtId="169" fontId="33" fillId="0" borderId="12" xfId="28" applyNumberFormat="1" applyFont="1" applyBorder="1" applyAlignment="1">
      <alignment horizontal="center" vertical="top" wrapText="1" readingOrder="1"/>
    </xf>
    <xf numFmtId="169" fontId="33" fillId="15" borderId="12" xfId="28" applyNumberFormat="1" applyFont="1" applyFill="1" applyBorder="1" applyAlignment="1">
      <alignment horizontal="center" vertical="top" wrapText="1" readingOrder="1"/>
    </xf>
    <xf numFmtId="171" fontId="33" fillId="15" borderId="12" xfId="28" applyNumberFormat="1" applyFont="1" applyFill="1" applyBorder="1" applyAlignment="1">
      <alignment horizontal="center" vertical="top" wrapText="1" readingOrder="1"/>
    </xf>
    <xf numFmtId="171" fontId="33" fillId="0" borderId="14" xfId="28" applyNumberFormat="1" applyFont="1" applyBorder="1" applyAlignment="1">
      <alignment horizontal="center" vertical="top" wrapText="1" readingOrder="1"/>
    </xf>
    <xf numFmtId="171" fontId="33" fillId="15" borderId="14" xfId="28" applyNumberFormat="1" applyFont="1" applyFill="1" applyBorder="1" applyAlignment="1">
      <alignment horizontal="center" vertical="top" wrapText="1" readingOrder="1"/>
    </xf>
    <xf numFmtId="169" fontId="33" fillId="2" borderId="12" xfId="28" applyNumberFormat="1" applyFont="1" applyFill="1" applyBorder="1" applyAlignment="1">
      <alignment horizontal="center" vertical="top" wrapText="1" readingOrder="1"/>
    </xf>
    <xf numFmtId="0" fontId="4" fillId="0" borderId="3" xfId="1" applyFont="1" applyBorder="1" applyAlignment="1">
      <alignment horizontal="center"/>
    </xf>
    <xf numFmtId="164" fontId="0" fillId="0" borderId="0" xfId="2" applyFont="1"/>
    <xf numFmtId="0" fontId="31" fillId="2" borderId="0" xfId="28" applyFont="1" applyFill="1" applyAlignment="1">
      <alignment vertical="top" wrapText="1" readingOrder="1"/>
    </xf>
    <xf numFmtId="170" fontId="33" fillId="0" borderId="12" xfId="28" applyNumberFormat="1" applyFont="1" applyBorder="1" applyAlignment="1">
      <alignment horizontal="right" vertical="top" wrapText="1" readingOrder="1"/>
    </xf>
    <xf numFmtId="169" fontId="33" fillId="0" borderId="14" xfId="28" applyNumberFormat="1" applyFont="1" applyBorder="1" applyAlignment="1">
      <alignment vertical="top" wrapText="1" readingOrder="1"/>
    </xf>
    <xf numFmtId="43" fontId="33" fillId="0" borderId="14" xfId="28" applyNumberFormat="1" applyFont="1" applyBorder="1" applyAlignment="1">
      <alignment vertical="top" wrapText="1" readingOrder="1"/>
    </xf>
    <xf numFmtId="4" fontId="49" fillId="12" borderId="7" xfId="0" applyNumberFormat="1" applyFont="1" applyFill="1" applyBorder="1" applyAlignment="1">
      <alignment horizontal="right"/>
    </xf>
    <xf numFmtId="0" fontId="50" fillId="7" borderId="0" xfId="8" applyFont="1" applyFill="1" applyAlignment="1">
      <alignment vertical="center"/>
    </xf>
    <xf numFmtId="43" fontId="50" fillId="7" borderId="0" xfId="24" applyFont="1" applyFill="1" applyAlignment="1">
      <alignment vertical="center"/>
    </xf>
    <xf numFmtId="0" fontId="50" fillId="7" borderId="0" xfId="13" applyFont="1" applyFill="1" applyAlignment="1">
      <alignment vertical="center"/>
    </xf>
    <xf numFmtId="0" fontId="51" fillId="7" borderId="5" xfId="8" applyFont="1" applyFill="1" applyBorder="1" applyAlignment="1">
      <alignment horizontal="right"/>
    </xf>
    <xf numFmtId="0" fontId="51" fillId="7" borderId="5" xfId="8" applyFont="1" applyFill="1" applyBorder="1" applyAlignment="1">
      <alignment horizontal="center"/>
    </xf>
    <xf numFmtId="0" fontId="51" fillId="7" borderId="5" xfId="8" applyFont="1" applyFill="1" applyBorder="1"/>
    <xf numFmtId="0" fontId="51" fillId="7" borderId="5" xfId="8" applyFont="1" applyFill="1" applyBorder="1" applyAlignment="1">
      <alignment horizontal="left"/>
    </xf>
    <xf numFmtId="173" fontId="51" fillId="7" borderId="5" xfId="8" applyNumberFormat="1" applyFont="1" applyFill="1" applyBorder="1" applyAlignment="1">
      <alignment horizontal="right"/>
    </xf>
    <xf numFmtId="0" fontId="27" fillId="7" borderId="0" xfId="25" applyFont="1" applyFill="1" applyAlignment="1">
      <alignment horizontal="center" vertical="center"/>
    </xf>
    <xf numFmtId="0" fontId="52" fillId="7" borderId="0" xfId="25" applyFont="1" applyFill="1" applyAlignment="1">
      <alignment vertical="center"/>
    </xf>
    <xf numFmtId="0" fontId="50" fillId="7" borderId="0" xfId="25" applyFont="1" applyFill="1" applyAlignment="1">
      <alignment vertical="center"/>
    </xf>
    <xf numFmtId="164" fontId="18" fillId="19" borderId="5" xfId="2" applyFont="1" applyFill="1" applyBorder="1" applyAlignment="1">
      <alignment horizontal="left"/>
    </xf>
    <xf numFmtId="0" fontId="18" fillId="19" borderId="5" xfId="8" applyFont="1" applyFill="1" applyBorder="1"/>
    <xf numFmtId="0" fontId="10" fillId="7" borderId="5" xfId="8" applyFont="1" applyFill="1" applyBorder="1" applyAlignment="1">
      <alignment horizontal="left"/>
    </xf>
    <xf numFmtId="164" fontId="10" fillId="7" borderId="5" xfId="2" applyFont="1" applyFill="1" applyBorder="1" applyAlignment="1">
      <alignment horizontal="right"/>
    </xf>
    <xf numFmtId="43" fontId="10" fillId="7" borderId="31" xfId="24" applyFont="1" applyFill="1" applyBorder="1"/>
    <xf numFmtId="43" fontId="10" fillId="7" borderId="6" xfId="24" applyFont="1" applyFill="1" applyBorder="1"/>
    <xf numFmtId="164" fontId="14" fillId="7" borderId="6" xfId="2" applyFont="1" applyFill="1" applyBorder="1" applyAlignment="1">
      <alignment horizontal="center"/>
    </xf>
    <xf numFmtId="0" fontId="14" fillId="7" borderId="6" xfId="8" applyFont="1" applyFill="1" applyBorder="1" applyAlignment="1">
      <alignment horizontal="center"/>
    </xf>
    <xf numFmtId="174" fontId="53" fillId="7" borderId="0" xfId="25" applyNumberFormat="1" applyFont="1" applyFill="1" applyAlignment="1">
      <alignment vertical="center"/>
    </xf>
    <xf numFmtId="175" fontId="52" fillId="7" borderId="0" xfId="25" applyNumberFormat="1" applyFont="1" applyFill="1" applyAlignment="1">
      <alignment vertical="center"/>
    </xf>
    <xf numFmtId="164" fontId="10" fillId="7" borderId="31" xfId="2" applyFont="1" applyFill="1" applyBorder="1"/>
    <xf numFmtId="164" fontId="15" fillId="0" borderId="6" xfId="2" applyFont="1" applyBorder="1"/>
    <xf numFmtId="164" fontId="15" fillId="7" borderId="6" xfId="2" applyFont="1" applyFill="1" applyBorder="1" applyAlignment="1">
      <alignment horizontal="left"/>
    </xf>
    <xf numFmtId="43" fontId="15" fillId="7" borderId="6" xfId="24" applyFont="1" applyFill="1" applyBorder="1" applyAlignment="1">
      <alignment horizontal="left"/>
    </xf>
    <xf numFmtId="164" fontId="15" fillId="7" borderId="6" xfId="2" applyFont="1" applyFill="1" applyBorder="1"/>
    <xf numFmtId="164" fontId="15" fillId="7" borderId="0" xfId="2" applyFont="1" applyFill="1"/>
    <xf numFmtId="164" fontId="15" fillId="7" borderId="0" xfId="2" applyFont="1" applyFill="1" applyAlignment="1">
      <alignment horizontal="left"/>
    </xf>
    <xf numFmtId="0" fontId="10" fillId="20" borderId="5" xfId="8" applyFont="1" applyFill="1" applyBorder="1" applyAlignment="1">
      <alignment horizontal="left"/>
    </xf>
    <xf numFmtId="164" fontId="18" fillId="20" borderId="5" xfId="2" applyFont="1" applyFill="1" applyBorder="1" applyAlignment="1">
      <alignment horizontal="left"/>
    </xf>
    <xf numFmtId="164" fontId="10" fillId="20" borderId="31" xfId="2" applyFont="1" applyFill="1" applyBorder="1" applyAlignment="1">
      <alignment horizontal="left"/>
    </xf>
    <xf numFmtId="164" fontId="10" fillId="20" borderId="27" xfId="2" applyFont="1" applyFill="1" applyBorder="1" applyAlignment="1">
      <alignment horizontal="left"/>
    </xf>
    <xf numFmtId="164" fontId="10" fillId="20" borderId="32" xfId="2" applyFont="1" applyFill="1" applyBorder="1" applyAlignment="1">
      <alignment horizontal="left"/>
    </xf>
    <xf numFmtId="164" fontId="10" fillId="20" borderId="33" xfId="2" applyFont="1" applyFill="1" applyBorder="1" applyAlignment="1">
      <alignment horizontal="left"/>
    </xf>
    <xf numFmtId="164" fontId="18" fillId="19" borderId="31" xfId="2" applyFont="1" applyFill="1" applyBorder="1" applyAlignment="1">
      <alignment horizontal="left"/>
    </xf>
    <xf numFmtId="164" fontId="18" fillId="19" borderId="34" xfId="2" applyFont="1" applyFill="1" applyBorder="1" applyAlignment="1">
      <alignment horizontal="left"/>
    </xf>
    <xf numFmtId="4" fontId="33" fillId="12" borderId="7" xfId="51" applyNumberFormat="1" applyFont="1" applyFill="1" applyBorder="1" applyAlignment="1">
      <alignment horizontal="right"/>
    </xf>
    <xf numFmtId="164" fontId="10" fillId="7" borderId="5" xfId="2" applyFont="1" applyFill="1" applyBorder="1"/>
    <xf numFmtId="0" fontId="54" fillId="7" borderId="6" xfId="0" applyFont="1" applyFill="1" applyBorder="1"/>
    <xf numFmtId="164" fontId="10" fillId="7" borderId="6" xfId="2" applyFont="1" applyFill="1" applyBorder="1"/>
    <xf numFmtId="164" fontId="15" fillId="0" borderId="6" xfId="2" applyFont="1" applyBorder="1" applyAlignment="1">
      <alignment horizontal="left"/>
    </xf>
    <xf numFmtId="0" fontId="15" fillId="7" borderId="6" xfId="0" applyFont="1" applyFill="1" applyBorder="1"/>
    <xf numFmtId="0" fontId="10" fillId="7" borderId="6" xfId="0" applyFont="1" applyFill="1" applyBorder="1"/>
    <xf numFmtId="164" fontId="10" fillId="0" borderId="5" xfId="2" applyFont="1" applyBorder="1" applyAlignment="1">
      <alignment horizontal="right"/>
    </xf>
    <xf numFmtId="164" fontId="18" fillId="20" borderId="37" xfId="2" applyFont="1" applyFill="1" applyBorder="1" applyAlignment="1">
      <alignment horizontal="left"/>
    </xf>
    <xf numFmtId="164" fontId="10" fillId="20" borderId="5" xfId="2" applyFont="1" applyFill="1" applyBorder="1" applyAlignment="1">
      <alignment horizontal="left"/>
    </xf>
    <xf numFmtId="0" fontId="15" fillId="7" borderId="6" xfId="0" applyFont="1" applyFill="1" applyBorder="1" applyAlignment="1">
      <alignment horizontal="left"/>
    </xf>
    <xf numFmtId="0" fontId="10" fillId="7" borderId="6" xfId="0" applyFont="1" applyFill="1" applyBorder="1" applyAlignment="1">
      <alignment horizontal="left"/>
    </xf>
    <xf numFmtId="164" fontId="10" fillId="7" borderId="5" xfId="2" applyFont="1" applyFill="1" applyBorder="1" applyAlignment="1">
      <alignment horizontal="left"/>
    </xf>
    <xf numFmtId="0" fontId="10" fillId="7" borderId="31" xfId="8" applyFont="1" applyFill="1" applyBorder="1" applyAlignment="1">
      <alignment horizontal="left"/>
    </xf>
    <xf numFmtId="0" fontId="10" fillId="7" borderId="37" xfId="8" applyFont="1" applyFill="1" applyBorder="1" applyAlignment="1">
      <alignment horizontal="left"/>
    </xf>
    <xf numFmtId="164" fontId="10" fillId="7" borderId="37" xfId="2" applyFont="1" applyFill="1" applyBorder="1" applyAlignment="1">
      <alignment horizontal="right"/>
    </xf>
    <xf numFmtId="164" fontId="10" fillId="7" borderId="31" xfId="2" applyFont="1" applyFill="1" applyBorder="1" applyAlignment="1">
      <alignment horizontal="left"/>
    </xf>
    <xf numFmtId="164" fontId="10" fillId="7" borderId="34" xfId="2" applyFont="1" applyFill="1" applyBorder="1" applyAlignment="1">
      <alignment horizontal="left"/>
    </xf>
    <xf numFmtId="164" fontId="10" fillId="20" borderId="34" xfId="2" applyFont="1" applyFill="1" applyBorder="1" applyAlignment="1">
      <alignment horizontal="left"/>
    </xf>
    <xf numFmtId="164" fontId="10" fillId="20" borderId="37" xfId="2" applyFont="1" applyFill="1" applyBorder="1" applyAlignment="1">
      <alignment horizontal="left"/>
    </xf>
    <xf numFmtId="0" fontId="10" fillId="7" borderId="5" xfId="13" applyFont="1" applyFill="1" applyBorder="1" applyAlignment="1">
      <alignment horizontal="left"/>
    </xf>
    <xf numFmtId="164" fontId="10" fillId="10" borderId="5" xfId="2" applyFont="1" applyFill="1" applyBorder="1" applyAlignment="1">
      <alignment horizontal="right"/>
    </xf>
    <xf numFmtId="4" fontId="10" fillId="7" borderId="5" xfId="2" applyNumberFormat="1" applyFont="1" applyFill="1" applyBorder="1" applyAlignment="1">
      <alignment horizontal="right"/>
    </xf>
    <xf numFmtId="164" fontId="18" fillId="21" borderId="5" xfId="2" applyFont="1" applyFill="1" applyBorder="1" applyAlignment="1">
      <alignment horizontal="left"/>
    </xf>
    <xf numFmtId="4" fontId="18" fillId="20" borderId="37" xfId="2" applyNumberFormat="1" applyFont="1" applyFill="1" applyBorder="1" applyAlignment="1">
      <alignment horizontal="right"/>
    </xf>
    <xf numFmtId="164" fontId="10" fillId="7" borderId="5" xfId="23" applyFont="1" applyFill="1" applyBorder="1" applyAlignment="1">
      <alignment horizontal="right"/>
    </xf>
    <xf numFmtId="0" fontId="10" fillId="7" borderId="5" xfId="13" applyFont="1" applyFill="1" applyBorder="1"/>
    <xf numFmtId="164" fontId="10" fillId="20" borderId="5" xfId="2" applyFont="1" applyFill="1" applyBorder="1" applyAlignment="1">
      <alignment horizontal="right"/>
    </xf>
    <xf numFmtId="0" fontId="10" fillId="20" borderId="31" xfId="8" applyFont="1" applyFill="1" applyBorder="1" applyAlignment="1">
      <alignment horizontal="left"/>
    </xf>
    <xf numFmtId="0" fontId="10" fillId="20" borderId="34" xfId="8" applyFont="1" applyFill="1" applyBorder="1" applyAlignment="1">
      <alignment horizontal="left"/>
    </xf>
    <xf numFmtId="0" fontId="10" fillId="20" borderId="37" xfId="8" applyFont="1" applyFill="1" applyBorder="1" applyAlignment="1">
      <alignment horizontal="left"/>
    </xf>
    <xf numFmtId="164" fontId="29" fillId="19" borderId="31" xfId="2" applyFont="1" applyFill="1" applyBorder="1" applyAlignment="1">
      <alignment horizontal="left"/>
    </xf>
    <xf numFmtId="0" fontId="18" fillId="19" borderId="5" xfId="8" applyFont="1" applyFill="1" applyBorder="1" applyAlignment="1">
      <alignment horizontal="center"/>
    </xf>
    <xf numFmtId="164" fontId="50" fillId="7" borderId="0" xfId="8" applyNumberFormat="1" applyFont="1" applyFill="1" applyAlignment="1">
      <alignment vertical="center"/>
    </xf>
    <xf numFmtId="164" fontId="30" fillId="7" borderId="5" xfId="2" applyFont="1" applyFill="1" applyBorder="1" applyAlignment="1">
      <alignment horizontal="left"/>
    </xf>
    <xf numFmtId="0" fontId="30" fillId="7" borderId="5" xfId="8" applyFont="1" applyFill="1" applyBorder="1" applyAlignment="1">
      <alignment horizontal="left"/>
    </xf>
    <xf numFmtId="43" fontId="50" fillId="7" borderId="0" xfId="8" applyNumberFormat="1" applyFont="1" applyFill="1" applyAlignment="1">
      <alignment vertical="center"/>
    </xf>
    <xf numFmtId="164" fontId="31" fillId="7" borderId="5" xfId="2" applyFont="1" applyFill="1" applyBorder="1" applyAlignment="1">
      <alignment horizontal="left"/>
    </xf>
    <xf numFmtId="43" fontId="55" fillId="7" borderId="5" xfId="24" applyFont="1" applyFill="1" applyBorder="1" applyAlignment="1">
      <alignment horizontal="left"/>
    </xf>
    <xf numFmtId="164" fontId="55" fillId="0" borderId="5" xfId="2" applyFont="1" applyBorder="1" applyAlignment="1">
      <alignment horizontal="right"/>
    </xf>
    <xf numFmtId="43" fontId="56" fillId="7" borderId="5" xfId="8" applyNumberFormat="1" applyFont="1" applyFill="1" applyBorder="1" applyAlignment="1">
      <alignment horizontal="left"/>
    </xf>
    <xf numFmtId="43" fontId="10" fillId="0" borderId="5" xfId="24" applyFont="1" applyBorder="1" applyAlignment="1">
      <alignment horizontal="right"/>
    </xf>
    <xf numFmtId="43" fontId="56" fillId="7" borderId="5" xfId="8" applyNumberFormat="1" applyFont="1" applyFill="1" applyBorder="1" applyAlignment="1">
      <alignment horizontal="right"/>
    </xf>
    <xf numFmtId="4" fontId="10" fillId="0" borderId="5" xfId="2" applyNumberFormat="1" applyFont="1" applyBorder="1" applyAlignment="1">
      <alignment horizontal="right"/>
    </xf>
    <xf numFmtId="4" fontId="10" fillId="0" borderId="37" xfId="2" applyNumberFormat="1" applyFont="1" applyBorder="1" applyAlignment="1">
      <alignment horizontal="right"/>
    </xf>
    <xf numFmtId="164" fontId="31" fillId="7" borderId="34" xfId="2" applyFont="1" applyFill="1" applyBorder="1" applyAlignment="1">
      <alignment horizontal="left"/>
    </xf>
    <xf numFmtId="43" fontId="56" fillId="7" borderId="37" xfId="8" applyNumberFormat="1" applyFont="1" applyFill="1" applyBorder="1" applyAlignment="1">
      <alignment horizontal="left"/>
    </xf>
    <xf numFmtId="164" fontId="18" fillId="20" borderId="5" xfId="17" applyFont="1" applyFill="1" applyBorder="1" applyAlignment="1">
      <alignment horizontal="left"/>
    </xf>
    <xf numFmtId="0" fontId="10" fillId="10" borderId="0" xfId="18" applyFont="1" applyFill="1" applyAlignment="1">
      <alignment horizontal="left"/>
    </xf>
    <xf numFmtId="0" fontId="10" fillId="0" borderId="5" xfId="19" applyFont="1" applyBorder="1" applyAlignment="1">
      <alignment horizontal="left"/>
    </xf>
    <xf numFmtId="0" fontId="10" fillId="10" borderId="5" xfId="18" applyFont="1" applyFill="1" applyBorder="1" applyAlignment="1">
      <alignment horizontal="left"/>
    </xf>
    <xf numFmtId="164" fontId="10" fillId="10" borderId="5" xfId="17" applyFont="1" applyFill="1" applyBorder="1" applyAlignment="1">
      <alignment horizontal="right"/>
    </xf>
    <xf numFmtId="164" fontId="10" fillId="10" borderId="31" xfId="17" applyFont="1" applyFill="1" applyBorder="1" applyAlignment="1">
      <alignment horizontal="left"/>
    </xf>
    <xf numFmtId="0" fontId="50" fillId="10" borderId="0" xfId="18" applyFont="1" applyFill="1" applyAlignment="1">
      <alignment vertical="center"/>
    </xf>
    <xf numFmtId="0" fontId="10" fillId="20" borderId="0" xfId="18" applyFont="1" applyFill="1" applyAlignment="1">
      <alignment horizontal="left"/>
    </xf>
    <xf numFmtId="164" fontId="10" fillId="20" borderId="5" xfId="17" applyFont="1" applyFill="1" applyBorder="1" applyAlignment="1">
      <alignment horizontal="right"/>
    </xf>
    <xf numFmtId="164" fontId="18" fillId="20" borderId="31" xfId="17" applyFont="1" applyFill="1" applyBorder="1" applyAlignment="1">
      <alignment horizontal="left"/>
    </xf>
    <xf numFmtId="0" fontId="18" fillId="19" borderId="0" xfId="8" applyFont="1" applyFill="1" applyAlignment="1">
      <alignment vertical="center" wrapText="1"/>
    </xf>
    <xf numFmtId="0" fontId="18" fillId="19" borderId="0" xfId="8" applyFont="1" applyFill="1" applyAlignment="1">
      <alignment horizontal="center" vertical="center" wrapText="1"/>
    </xf>
    <xf numFmtId="0" fontId="18" fillId="19" borderId="31" xfId="8" applyFont="1" applyFill="1" applyBorder="1" applyAlignment="1">
      <alignment vertical="center" wrapText="1"/>
    </xf>
    <xf numFmtId="164" fontId="18" fillId="19" borderId="37" xfId="2" applyFont="1" applyFill="1" applyBorder="1" applyAlignment="1">
      <alignment horizontal="center" vertical="center" wrapText="1"/>
    </xf>
    <xf numFmtId="0" fontId="18" fillId="19" borderId="5" xfId="8" applyFont="1" applyFill="1" applyBorder="1" applyAlignment="1">
      <alignment horizontal="center" vertical="center" wrapText="1"/>
    </xf>
    <xf numFmtId="176" fontId="10" fillId="7" borderId="5" xfId="0" applyNumberFormat="1" applyFont="1" applyFill="1" applyBorder="1" applyAlignment="1">
      <alignment horizontal="right"/>
    </xf>
    <xf numFmtId="0" fontId="10" fillId="20" borderId="5" xfId="8" applyFont="1" applyFill="1" applyBorder="1" applyAlignment="1">
      <alignment horizontal="left" vertical="center"/>
    </xf>
    <xf numFmtId="0" fontId="18" fillId="20" borderId="5" xfId="8" applyFont="1" applyFill="1" applyBorder="1" applyAlignment="1">
      <alignment horizontal="left" vertical="center"/>
    </xf>
    <xf numFmtId="177" fontId="18" fillId="20" borderId="31" xfId="2" applyNumberFormat="1" applyFont="1" applyFill="1" applyBorder="1" applyAlignment="1">
      <alignment horizontal="center" vertical="center"/>
    </xf>
    <xf numFmtId="10" fontId="18" fillId="20" borderId="34" xfId="20" applyNumberFormat="1" applyFont="1" applyFill="1" applyBorder="1" applyAlignment="1">
      <alignment horizontal="right" vertical="center"/>
    </xf>
    <xf numFmtId="164" fontId="18" fillId="20" borderId="31" xfId="2" applyFont="1" applyFill="1" applyBorder="1" applyAlignment="1">
      <alignment vertical="center"/>
    </xf>
    <xf numFmtId="43" fontId="53" fillId="7" borderId="0" xfId="25" applyNumberFormat="1" applyFont="1" applyFill="1" applyAlignment="1">
      <alignment vertical="center"/>
    </xf>
    <xf numFmtId="164" fontId="18" fillId="19" borderId="5" xfId="2" applyFont="1" applyFill="1" applyBorder="1" applyAlignment="1">
      <alignment horizontal="center" vertical="center" wrapText="1"/>
    </xf>
    <xf numFmtId="0" fontId="18" fillId="19" borderId="39" xfId="13" applyFont="1" applyFill="1" applyBorder="1" applyAlignment="1">
      <alignment horizontal="center" vertical="center" wrapText="1"/>
    </xf>
    <xf numFmtId="0" fontId="10" fillId="7" borderId="31" xfId="0" applyFont="1" applyFill="1" applyBorder="1"/>
    <xf numFmtId="0" fontId="10" fillId="7" borderId="5" xfId="0" applyFont="1" applyFill="1" applyBorder="1" applyAlignment="1">
      <alignment horizontal="right"/>
    </xf>
    <xf numFmtId="178" fontId="10" fillId="0" borderId="5" xfId="2" applyNumberFormat="1" applyFont="1" applyBorder="1" applyAlignment="1">
      <alignment horizontal="left"/>
    </xf>
    <xf numFmtId="164" fontId="10" fillId="0" borderId="5" xfId="2" applyFont="1" applyBorder="1" applyAlignment="1">
      <alignment horizontal="left"/>
    </xf>
    <xf numFmtId="43" fontId="10" fillId="7" borderId="0" xfId="24" applyFont="1" applyFill="1" applyAlignment="1">
      <alignment vertical="center"/>
    </xf>
    <xf numFmtId="176" fontId="10" fillId="7" borderId="31" xfId="0" applyNumberFormat="1" applyFont="1" applyFill="1" applyBorder="1"/>
    <xf numFmtId="43" fontId="1" fillId="2" borderId="0" xfId="24" applyFont="1" applyFill="1" applyAlignment="1">
      <alignment horizontal="left" wrapText="1"/>
    </xf>
    <xf numFmtId="43" fontId="10" fillId="7" borderId="5" xfId="24" applyFont="1" applyFill="1" applyBorder="1" applyAlignment="1">
      <alignment horizontal="left"/>
    </xf>
    <xf numFmtId="0" fontId="10" fillId="7" borderId="5" xfId="8" applyFont="1" applyFill="1" applyBorder="1" applyAlignment="1">
      <alignment horizontal="left" wrapText="1"/>
    </xf>
    <xf numFmtId="43" fontId="18" fillId="21" borderId="5" xfId="24" applyFont="1" applyFill="1" applyBorder="1" applyAlignment="1">
      <alignment horizontal="left"/>
    </xf>
    <xf numFmtId="43" fontId="10" fillId="7" borderId="5" xfId="24" applyFont="1" applyFill="1" applyBorder="1" applyAlignment="1">
      <alignment horizontal="right"/>
    </xf>
    <xf numFmtId="43" fontId="10" fillId="7" borderId="5" xfId="13" applyNumberFormat="1" applyFont="1" applyFill="1" applyBorder="1" applyAlignment="1">
      <alignment horizontal="left"/>
    </xf>
    <xf numFmtId="4" fontId="10" fillId="7" borderId="5" xfId="13" applyNumberFormat="1" applyFont="1" applyFill="1" applyBorder="1" applyAlignment="1">
      <alignment horizontal="left"/>
    </xf>
    <xf numFmtId="0" fontId="10" fillId="7" borderId="5" xfId="0" applyFont="1" applyFill="1" applyBorder="1"/>
    <xf numFmtId="165" fontId="18" fillId="19" borderId="5" xfId="2" applyNumberFormat="1" applyFont="1" applyFill="1" applyBorder="1" applyAlignment="1">
      <alignment horizontal="center"/>
    </xf>
    <xf numFmtId="0" fontId="10" fillId="7" borderId="5" xfId="8" applyFont="1" applyFill="1" applyBorder="1"/>
    <xf numFmtId="4" fontId="10" fillId="7" borderId="5" xfId="23" applyNumberFormat="1" applyFont="1" applyFill="1" applyBorder="1" applyAlignment="1">
      <alignment horizontal="right"/>
    </xf>
    <xf numFmtId="43" fontId="1" fillId="2" borderId="0" xfId="8" applyNumberFormat="1" applyFill="1" applyAlignment="1">
      <alignment horizontal="left" wrapText="1"/>
    </xf>
    <xf numFmtId="0" fontId="10" fillId="7" borderId="5" xfId="8" applyFont="1" applyFill="1" applyBorder="1" applyAlignment="1">
      <alignment horizontal="right"/>
    </xf>
    <xf numFmtId="179" fontId="10" fillId="0" borderId="5" xfId="8" applyNumberFormat="1" applyFont="1" applyBorder="1" applyAlignment="1">
      <alignment horizontal="left"/>
    </xf>
    <xf numFmtId="0" fontId="10" fillId="7" borderId="40" xfId="8" applyFont="1" applyFill="1" applyBorder="1" applyAlignment="1">
      <alignment horizontal="center" wrapText="1"/>
    </xf>
    <xf numFmtId="43" fontId="33" fillId="12" borderId="7" xfId="52" applyFont="1" applyFill="1" applyBorder="1" applyAlignment="1">
      <alignment horizontal="right"/>
    </xf>
    <xf numFmtId="43" fontId="33" fillId="22" borderId="7" xfId="52" applyFont="1" applyFill="1" applyBorder="1" applyAlignment="1">
      <alignment horizontal="right"/>
    </xf>
    <xf numFmtId="49" fontId="33" fillId="12" borderId="41" xfId="0" applyNumberFormat="1" applyFont="1" applyFill="1" applyBorder="1" applyAlignment="1">
      <alignment horizontal="left"/>
    </xf>
    <xf numFmtId="49" fontId="33" fillId="0" borderId="41" xfId="0" applyNumberFormat="1" applyFont="1" applyBorder="1" applyAlignment="1">
      <alignment horizontal="left"/>
    </xf>
    <xf numFmtId="0" fontId="36" fillId="23" borderId="0" xfId="0" applyFont="1" applyFill="1" applyAlignment="1">
      <alignment horizontal="left" wrapText="1"/>
    </xf>
    <xf numFmtId="49" fontId="33" fillId="0" borderId="42" xfId="0" applyNumberFormat="1" applyFont="1" applyBorder="1" applyAlignment="1">
      <alignment horizontal="left"/>
    </xf>
    <xf numFmtId="49" fontId="36" fillId="23" borderId="0" xfId="0" applyNumberFormat="1" applyFont="1" applyFill="1" applyAlignment="1">
      <alignment horizontal="center" wrapText="1"/>
    </xf>
    <xf numFmtId="49" fontId="33" fillId="0" borderId="44" xfId="0" applyNumberFormat="1" applyFont="1" applyBorder="1" applyAlignment="1">
      <alignment horizontal="left"/>
    </xf>
    <xf numFmtId="49" fontId="33" fillId="0" borderId="0" xfId="0" applyNumberFormat="1" applyFont="1" applyAlignment="1">
      <alignment horizontal="left"/>
    </xf>
    <xf numFmtId="49" fontId="36" fillId="23" borderId="45" xfId="0" applyNumberFormat="1" applyFont="1" applyFill="1" applyBorder="1" applyAlignment="1">
      <alignment horizontal="center" wrapText="1"/>
    </xf>
    <xf numFmtId="49" fontId="33" fillId="24" borderId="41" xfId="0" applyNumberFormat="1" applyFont="1" applyFill="1" applyBorder="1" applyAlignment="1">
      <alignment horizontal="left"/>
    </xf>
    <xf numFmtId="49" fontId="35" fillId="24" borderId="41" xfId="0" applyNumberFormat="1" applyFont="1" applyFill="1" applyBorder="1" applyAlignment="1">
      <alignment horizontal="left"/>
    </xf>
    <xf numFmtId="49" fontId="35" fillId="24" borderId="44" xfId="0" applyNumberFormat="1" applyFont="1" applyFill="1" applyBorder="1" applyAlignment="1">
      <alignment horizontal="left"/>
    </xf>
    <xf numFmtId="0" fontId="33" fillId="0" borderId="47" xfId="19" applyFont="1" applyBorder="1" applyAlignment="1">
      <alignment horizontal="left"/>
    </xf>
    <xf numFmtId="164" fontId="10" fillId="10" borderId="34" xfId="2" applyFont="1" applyFill="1" applyBorder="1"/>
    <xf numFmtId="164" fontId="10" fillId="10" borderId="37" xfId="2" applyFont="1" applyFill="1" applyBorder="1"/>
    <xf numFmtId="0" fontId="18" fillId="19" borderId="27" xfId="8" applyFont="1" applyFill="1" applyBorder="1"/>
    <xf numFmtId="0" fontId="29" fillId="19" borderId="38" xfId="8" applyFont="1" applyFill="1" applyBorder="1"/>
    <xf numFmtId="0" fontId="29" fillId="19" borderId="27" xfId="8" applyFont="1" applyFill="1" applyBorder="1"/>
    <xf numFmtId="164" fontId="29" fillId="19" borderId="38" xfId="2" applyFont="1" applyFill="1" applyBorder="1"/>
    <xf numFmtId="164" fontId="29" fillId="19" borderId="27" xfId="2" applyFont="1" applyFill="1" applyBorder="1"/>
    <xf numFmtId="43" fontId="37" fillId="0" borderId="7" xfId="52" applyFont="1" applyBorder="1" applyAlignment="1">
      <alignment horizontal="left"/>
    </xf>
    <xf numFmtId="43" fontId="36" fillId="25" borderId="7" xfId="52" applyFont="1" applyFill="1" applyBorder="1" applyAlignment="1">
      <alignment horizontal="left"/>
    </xf>
    <xf numFmtId="0" fontId="10" fillId="7" borderId="0" xfId="8" applyFont="1" applyFill="1" applyAlignment="1">
      <alignment horizontal="left"/>
    </xf>
    <xf numFmtId="0" fontId="10" fillId="7" borderId="0" xfId="8" applyFont="1" applyFill="1"/>
    <xf numFmtId="0" fontId="10" fillId="7" borderId="0" xfId="8" applyFont="1" applyFill="1" applyAlignment="1">
      <alignment horizontal="right"/>
    </xf>
    <xf numFmtId="164" fontId="10" fillId="0" borderId="0" xfId="2" applyFont="1" applyAlignment="1">
      <alignment horizontal="left"/>
    </xf>
    <xf numFmtId="179" fontId="10" fillId="0" borderId="0" xfId="8" applyNumberFormat="1" applyFont="1" applyAlignment="1">
      <alignment horizontal="left"/>
    </xf>
    <xf numFmtId="164" fontId="18" fillId="19" borderId="32" xfId="2" applyFont="1" applyFill="1" applyBorder="1" applyAlignment="1">
      <alignment horizontal="center" vertical="center" wrapText="1"/>
    </xf>
    <xf numFmtId="0" fontId="18" fillId="19" borderId="33" xfId="8" applyFont="1" applyFill="1" applyBorder="1" applyAlignment="1">
      <alignment horizontal="center" vertical="center" wrapText="1"/>
    </xf>
    <xf numFmtId="0" fontId="18" fillId="19" borderId="38" xfId="8" applyFont="1" applyFill="1" applyBorder="1" applyAlignment="1">
      <alignment vertical="center" wrapText="1"/>
    </xf>
    <xf numFmtId="0" fontId="18" fillId="19" borderId="27" xfId="8" applyFont="1" applyFill="1" applyBorder="1" applyAlignment="1">
      <alignment vertical="center" wrapText="1"/>
    </xf>
    <xf numFmtId="0" fontId="18" fillId="19" borderId="32" xfId="8" applyFont="1" applyFill="1" applyBorder="1" applyAlignment="1">
      <alignment vertical="center" wrapText="1"/>
    </xf>
    <xf numFmtId="164" fontId="10" fillId="0" borderId="0" xfId="17" applyFont="1" applyAlignment="1">
      <alignment horizontal="right"/>
    </xf>
    <xf numFmtId="164" fontId="18" fillId="0" borderId="0" xfId="17" applyFont="1" applyAlignment="1">
      <alignment horizontal="left"/>
    </xf>
    <xf numFmtId="164" fontId="18" fillId="0" borderId="0" xfId="2" applyFont="1"/>
    <xf numFmtId="43" fontId="50" fillId="0" borderId="0" xfId="24" applyFont="1" applyAlignment="1">
      <alignment vertical="center"/>
    </xf>
    <xf numFmtId="0" fontId="50" fillId="0" borderId="0" xfId="18" applyFont="1" applyAlignment="1">
      <alignment vertical="center"/>
    </xf>
    <xf numFmtId="43" fontId="18" fillId="20" borderId="5" xfId="41" applyFont="1" applyFill="1" applyBorder="1" applyAlignment="1">
      <alignment horizontal="left"/>
    </xf>
    <xf numFmtId="43" fontId="10" fillId="20" borderId="31" xfId="41" applyFont="1" applyFill="1" applyBorder="1" applyAlignment="1">
      <alignment horizontal="left"/>
    </xf>
    <xf numFmtId="43" fontId="10" fillId="20" borderId="27" xfId="41" applyFont="1" applyFill="1" applyBorder="1" applyAlignment="1">
      <alignment horizontal="left"/>
    </xf>
    <xf numFmtId="43" fontId="10" fillId="20" borderId="32" xfId="41" applyFont="1" applyFill="1" applyBorder="1" applyAlignment="1">
      <alignment horizontal="left"/>
    </xf>
    <xf numFmtId="43" fontId="10" fillId="20" borderId="33" xfId="41" applyFont="1" applyFill="1" applyBorder="1" applyAlignment="1">
      <alignment horizontal="left"/>
    </xf>
    <xf numFmtId="43" fontId="18" fillId="20" borderId="37" xfId="41" applyFont="1" applyFill="1" applyBorder="1" applyAlignment="1">
      <alignment horizontal="left"/>
    </xf>
    <xf numFmtId="43" fontId="10" fillId="20" borderId="5" xfId="41" applyFont="1" applyFill="1" applyBorder="1" applyAlignment="1">
      <alignment horizontal="left"/>
    </xf>
    <xf numFmtId="0" fontId="10" fillId="26" borderId="5" xfId="8" applyFont="1" applyFill="1" applyBorder="1" applyAlignment="1">
      <alignment horizontal="left"/>
    </xf>
    <xf numFmtId="0" fontId="10" fillId="26" borderId="31" xfId="8" applyFont="1" applyFill="1" applyBorder="1"/>
    <xf numFmtId="0" fontId="10" fillId="26" borderId="34" xfId="8" applyFont="1" applyFill="1" applyBorder="1"/>
    <xf numFmtId="0" fontId="33" fillId="12" borderId="47" xfId="8" applyFont="1" applyFill="1" applyBorder="1" applyAlignment="1">
      <alignment horizontal="left"/>
    </xf>
    <xf numFmtId="0" fontId="33" fillId="27" borderId="47" xfId="8" applyFont="1" applyFill="1" applyBorder="1" applyAlignment="1">
      <alignment horizontal="left" vertical="center"/>
    </xf>
    <xf numFmtId="0" fontId="36" fillId="27" borderId="47" xfId="8" applyFont="1" applyFill="1" applyBorder="1" applyAlignment="1">
      <alignment horizontal="left" vertical="center"/>
    </xf>
    <xf numFmtId="169" fontId="33" fillId="0" borderId="14" xfId="1" applyNumberFormat="1" applyFont="1" applyBorder="1" applyAlignment="1">
      <alignment horizontal="center" vertical="top" wrapText="1" readingOrder="1"/>
    </xf>
    <xf numFmtId="176" fontId="33" fillId="12" borderId="47" xfId="1" applyNumberFormat="1" applyFont="1" applyFill="1" applyBorder="1" applyAlignment="1">
      <alignment horizontal="right"/>
    </xf>
    <xf numFmtId="170" fontId="33" fillId="0" borderId="14" xfId="1" applyNumberFormat="1" applyFont="1" applyBorder="1" applyAlignment="1">
      <alignment vertical="top" wrapText="1" readingOrder="1"/>
    </xf>
    <xf numFmtId="177" fontId="36" fillId="27" borderId="48" xfId="41" applyNumberFormat="1" applyFont="1" applyFill="1" applyBorder="1" applyAlignment="1">
      <alignment horizontal="center" vertical="center"/>
    </xf>
    <xf numFmtId="10" fontId="36" fillId="27" borderId="49" xfId="20" applyNumberFormat="1" applyFont="1" applyFill="1" applyBorder="1" applyAlignment="1">
      <alignment horizontal="right" vertical="center"/>
    </xf>
    <xf numFmtId="164" fontId="36" fillId="27" borderId="48" xfId="41" applyNumberFormat="1" applyFont="1" applyFill="1" applyBorder="1" applyAlignment="1">
      <alignment vertical="center"/>
    </xf>
    <xf numFmtId="43" fontId="18" fillId="19" borderId="5" xfId="41" applyFont="1" applyFill="1" applyBorder="1" applyAlignment="1">
      <alignment horizontal="center" vertical="center" wrapText="1"/>
    </xf>
    <xf numFmtId="0" fontId="10" fillId="7" borderId="31" xfId="50" applyFont="1" applyFill="1" applyBorder="1"/>
    <xf numFmtId="0" fontId="10" fillId="7" borderId="5" xfId="50" applyFont="1" applyFill="1" applyBorder="1" applyAlignment="1">
      <alignment horizontal="right"/>
    </xf>
    <xf numFmtId="178" fontId="10" fillId="0" borderId="5" xfId="41" applyNumberFormat="1" applyFont="1" applyBorder="1" applyAlignment="1">
      <alignment horizontal="left"/>
    </xf>
    <xf numFmtId="43" fontId="10" fillId="7" borderId="31" xfId="41" applyFont="1" applyFill="1" applyBorder="1"/>
    <xf numFmtId="43" fontId="10" fillId="7" borderId="5" xfId="41" applyFont="1" applyFill="1" applyBorder="1" applyAlignment="1">
      <alignment horizontal="right"/>
    </xf>
    <xf numFmtId="43" fontId="10" fillId="0" borderId="5" xfId="41" applyFont="1" applyBorder="1" applyAlignment="1">
      <alignment horizontal="left"/>
    </xf>
    <xf numFmtId="176" fontId="10" fillId="7" borderId="31" xfId="50" applyNumberFormat="1" applyFont="1" applyFill="1" applyBorder="1"/>
    <xf numFmtId="176" fontId="10" fillId="7" borderId="5" xfId="50" applyNumberFormat="1" applyFont="1" applyFill="1" applyBorder="1" applyAlignment="1">
      <alignment horizontal="right"/>
    </xf>
    <xf numFmtId="164" fontId="1" fillId="2" borderId="0" xfId="2" applyFont="1" applyFill="1" applyAlignment="1">
      <alignment horizontal="left" wrapText="1"/>
    </xf>
    <xf numFmtId="0" fontId="10" fillId="7" borderId="5" xfId="50" applyFont="1" applyFill="1" applyBorder="1"/>
    <xf numFmtId="165" fontId="18" fillId="19" borderId="5" xfId="41" applyNumberFormat="1" applyFont="1" applyFill="1" applyBorder="1" applyAlignment="1">
      <alignment horizontal="center"/>
    </xf>
    <xf numFmtId="43" fontId="10" fillId="7" borderId="5" xfId="8" applyNumberFormat="1" applyFont="1" applyFill="1" applyBorder="1" applyAlignment="1">
      <alignment horizontal="right"/>
    </xf>
    <xf numFmtId="0" fontId="18" fillId="19" borderId="38" xfId="8" applyFont="1" applyFill="1" applyBorder="1" applyAlignment="1">
      <alignment horizontal="center"/>
    </xf>
    <xf numFmtId="43" fontId="33" fillId="24" borderId="7" xfId="52" applyFont="1" applyFill="1" applyBorder="1" applyAlignment="1">
      <alignment horizontal="right"/>
    </xf>
    <xf numFmtId="4" fontId="30" fillId="26" borderId="37" xfId="2" applyNumberFormat="1" applyFont="1" applyFill="1" applyBorder="1" applyAlignment="1">
      <alignment horizontal="right"/>
    </xf>
    <xf numFmtId="43" fontId="57" fillId="9" borderId="0" xfId="24" applyFont="1" applyFill="1"/>
    <xf numFmtId="43" fontId="57" fillId="0" borderId="0" xfId="24" applyFont="1"/>
    <xf numFmtId="4" fontId="58" fillId="4" borderId="3" xfId="1" applyNumberFormat="1" applyFont="1" applyFill="1" applyBorder="1" applyAlignment="1">
      <alignment horizontal="center"/>
    </xf>
    <xf numFmtId="4" fontId="45" fillId="0" borderId="3" xfId="1" applyNumberFormat="1" applyFont="1" applyBorder="1" applyAlignment="1"/>
    <xf numFmtId="4" fontId="45" fillId="6" borderId="3" xfId="1" applyNumberFormat="1" applyFont="1" applyFill="1" applyBorder="1" applyAlignment="1"/>
    <xf numFmtId="0" fontId="9" fillId="0" borderId="3" xfId="1" applyFont="1" applyBorder="1" applyAlignment="1">
      <alignment horizontal="center"/>
    </xf>
    <xf numFmtId="164" fontId="16" fillId="0" borderId="6" xfId="2" applyFont="1" applyBorder="1" applyAlignment="1">
      <alignment horizontal="left"/>
    </xf>
    <xf numFmtId="164" fontId="30" fillId="10" borderId="5" xfId="17" applyFont="1" applyFill="1" applyBorder="1" applyAlignment="1">
      <alignment horizontal="right"/>
    </xf>
    <xf numFmtId="170" fontId="30" fillId="0" borderId="14" xfId="1" applyNumberFormat="1" applyFont="1" applyBorder="1" applyAlignment="1">
      <alignment vertical="top" wrapText="1" readingOrder="1"/>
    </xf>
    <xf numFmtId="49" fontId="33" fillId="24" borderId="42" xfId="0" applyNumberFormat="1" applyFont="1" applyFill="1" applyBorder="1" applyAlignment="1">
      <alignment horizontal="left"/>
    </xf>
    <xf numFmtId="0" fontId="59" fillId="0" borderId="0" xfId="1" applyFont="1" applyAlignment="1"/>
    <xf numFmtId="0" fontId="34" fillId="0" borderId="0" xfId="1" applyFont="1" applyAlignment="1"/>
    <xf numFmtId="0" fontId="50" fillId="28" borderId="0" xfId="13" applyFont="1" applyFill="1" applyAlignment="1">
      <alignment vertical="center"/>
    </xf>
    <xf numFmtId="43" fontId="18" fillId="26" borderId="37" xfId="24" applyFont="1" applyFill="1" applyBorder="1" applyAlignment="1">
      <alignment horizontal="right"/>
    </xf>
    <xf numFmtId="0" fontId="10" fillId="7" borderId="31" xfId="13" applyFont="1" applyFill="1" applyBorder="1"/>
    <xf numFmtId="0" fontId="10" fillId="7" borderId="37" xfId="13" applyFont="1" applyFill="1" applyBorder="1"/>
    <xf numFmtId="0" fontId="18" fillId="19" borderId="31" xfId="8" applyFont="1" applyFill="1" applyBorder="1"/>
    <xf numFmtId="43" fontId="33" fillId="0" borderId="7" xfId="52" applyFont="1" applyFill="1" applyBorder="1" applyAlignment="1">
      <alignment horizontal="right"/>
    </xf>
    <xf numFmtId="164" fontId="10" fillId="0" borderId="5" xfId="2" applyFont="1" applyFill="1" applyBorder="1" applyAlignment="1">
      <alignment horizontal="left"/>
    </xf>
    <xf numFmtId="0" fontId="30" fillId="2" borderId="0" xfId="58" applyFont="1" applyFill="1"/>
    <xf numFmtId="0" fontId="35" fillId="2" borderId="0" xfId="58" applyFont="1" applyFill="1" applyAlignment="1">
      <alignment vertical="top" wrapText="1" readingOrder="1"/>
    </xf>
    <xf numFmtId="0" fontId="30" fillId="0" borderId="0" xfId="58" applyFont="1"/>
    <xf numFmtId="43" fontId="30" fillId="2" borderId="0" xfId="58" applyNumberFormat="1" applyFont="1" applyFill="1"/>
    <xf numFmtId="4" fontId="30" fillId="2" borderId="0" xfId="58" applyNumberFormat="1" applyFont="1" applyFill="1"/>
    <xf numFmtId="0" fontId="30" fillId="2" borderId="25" xfId="58" applyFont="1" applyFill="1" applyBorder="1"/>
    <xf numFmtId="0" fontId="30" fillId="2" borderId="17" xfId="58" applyFont="1" applyFill="1" applyBorder="1"/>
    <xf numFmtId="44" fontId="48" fillId="0" borderId="0" xfId="48" applyFont="1"/>
    <xf numFmtId="0" fontId="48" fillId="0" borderId="0" xfId="0" applyFont="1" applyAlignment="1">
      <alignment horizontal="center"/>
    </xf>
    <xf numFmtId="0" fontId="62" fillId="2" borderId="0" xfId="58" applyFont="1" applyFill="1" applyAlignment="1">
      <alignment vertical="center" wrapText="1" readingOrder="1"/>
    </xf>
    <xf numFmtId="0" fontId="1" fillId="2" borderId="0" xfId="58" applyFill="1"/>
    <xf numFmtId="0" fontId="62" fillId="2" borderId="0" xfId="58" applyFont="1" applyFill="1" applyAlignment="1">
      <alignment vertical="center" readingOrder="1"/>
    </xf>
    <xf numFmtId="0" fontId="1" fillId="2" borderId="0" xfId="58" applyFill="1" applyAlignment="1">
      <alignment horizontal="center"/>
    </xf>
    <xf numFmtId="0" fontId="62" fillId="2" borderId="0" xfId="58" applyFont="1" applyFill="1" applyAlignment="1">
      <alignment vertical="top" wrapText="1" readingOrder="1"/>
    </xf>
    <xf numFmtId="0" fontId="62" fillId="2" borderId="0" xfId="58" applyFont="1" applyFill="1" applyAlignment="1">
      <alignment horizontal="center" vertical="center" wrapText="1" readingOrder="1"/>
    </xf>
    <xf numFmtId="0" fontId="24" fillId="2" borderId="0" xfId="58" applyFont="1" applyFill="1" applyAlignment="1">
      <alignment vertical="top" wrapText="1" readingOrder="1"/>
    </xf>
    <xf numFmtId="168" fontId="62" fillId="2" borderId="0" xfId="0" applyNumberFormat="1" applyFont="1" applyFill="1" applyAlignment="1">
      <alignment horizontal="center" vertical="top" wrapText="1" readingOrder="1"/>
    </xf>
    <xf numFmtId="169" fontId="62" fillId="2" borderId="0" xfId="50" applyNumberFormat="1" applyFont="1" applyFill="1" applyAlignment="1">
      <alignment vertical="top" wrapText="1" readingOrder="1"/>
    </xf>
    <xf numFmtId="0" fontId="24" fillId="0" borderId="12" xfId="58" applyFont="1" applyBorder="1" applyAlignment="1">
      <alignment vertical="top" readingOrder="1"/>
    </xf>
    <xf numFmtId="170" fontId="24" fillId="0" borderId="13" xfId="0" applyNumberFormat="1" applyFont="1" applyBorder="1" applyAlignment="1">
      <alignment horizontal="right" vertical="top" wrapText="1" readingOrder="1"/>
    </xf>
    <xf numFmtId="170" fontId="24" fillId="0" borderId="12" xfId="50" applyNumberFormat="1" applyFont="1" applyBorder="1" applyAlignment="1">
      <alignment vertical="top" wrapText="1" readingOrder="1"/>
    </xf>
    <xf numFmtId="170" fontId="24" fillId="0" borderId="12" xfId="59" applyNumberFormat="1" applyFont="1" applyBorder="1" applyAlignment="1">
      <alignment vertical="top" wrapText="1" readingOrder="1"/>
    </xf>
    <xf numFmtId="0" fontId="1" fillId="30" borderId="8" xfId="58" applyFill="1" applyBorder="1"/>
    <xf numFmtId="170" fontId="24" fillId="0" borderId="14" xfId="0" applyNumberFormat="1" applyFont="1" applyBorder="1" applyAlignment="1">
      <alignment horizontal="right" vertical="top" wrapText="1" readingOrder="1"/>
    </xf>
    <xf numFmtId="0" fontId="62" fillId="30" borderId="9" xfId="58" applyFont="1" applyFill="1" applyBorder="1" applyAlignment="1">
      <alignment vertical="center" wrapText="1" readingOrder="1"/>
    </xf>
    <xf numFmtId="0" fontId="24" fillId="30" borderId="6" xfId="58" applyFont="1" applyFill="1" applyBorder="1" applyAlignment="1">
      <alignment vertical="top" wrapText="1" readingOrder="1"/>
    </xf>
    <xf numFmtId="4" fontId="24" fillId="30" borderId="6" xfId="58" applyNumberFormat="1" applyFont="1" applyFill="1" applyBorder="1" applyAlignment="1">
      <alignment vertical="top" wrapText="1" readingOrder="1"/>
    </xf>
    <xf numFmtId="4" fontId="1" fillId="30" borderId="6" xfId="58" applyNumberFormat="1" applyFill="1" applyBorder="1"/>
    <xf numFmtId="170" fontId="24" fillId="0" borderId="15" xfId="58" applyNumberFormat="1" applyFont="1" applyBorder="1" applyAlignment="1">
      <alignment vertical="top" wrapText="1" readingOrder="1"/>
    </xf>
    <xf numFmtId="170" fontId="24" fillId="0" borderId="12" xfId="58" applyNumberFormat="1" applyFont="1" applyBorder="1" applyAlignment="1">
      <alignment vertical="top" wrapText="1" readingOrder="1"/>
    </xf>
    <xf numFmtId="0" fontId="1" fillId="30" borderId="6" xfId="58" applyFill="1" applyBorder="1"/>
    <xf numFmtId="170" fontId="1" fillId="30" borderId="6" xfId="58" applyNumberFormat="1" applyFill="1" applyBorder="1"/>
    <xf numFmtId="0" fontId="24" fillId="0" borderId="16" xfId="58" applyFont="1" applyBorder="1" applyAlignment="1">
      <alignment vertical="top" readingOrder="1"/>
    </xf>
    <xf numFmtId="170" fontId="24" fillId="30" borderId="6" xfId="50" applyNumberFormat="1" applyFont="1" applyFill="1" applyBorder="1" applyAlignment="1">
      <alignment vertical="top" wrapText="1" readingOrder="1"/>
    </xf>
    <xf numFmtId="170" fontId="1" fillId="30" borderId="6" xfId="50" applyNumberFormat="1" applyFont="1" applyFill="1" applyBorder="1" applyAlignment="1">
      <alignment vertical="top" wrapText="1" readingOrder="1"/>
    </xf>
    <xf numFmtId="0" fontId="24" fillId="29" borderId="16" xfId="58" applyFont="1" applyFill="1" applyBorder="1" applyAlignment="1">
      <alignment vertical="top" readingOrder="1"/>
    </xf>
    <xf numFmtId="170" fontId="24" fillId="29" borderId="16" xfId="58" applyNumberFormat="1" applyFont="1" applyFill="1" applyBorder="1" applyAlignment="1">
      <alignment vertical="top" readingOrder="1"/>
    </xf>
    <xf numFmtId="43" fontId="1" fillId="30" borderId="6" xfId="58" applyNumberFormat="1" applyFill="1" applyBorder="1"/>
    <xf numFmtId="0" fontId="24" fillId="0" borderId="20" xfId="58" applyFont="1" applyBorder="1" applyAlignment="1">
      <alignment vertical="top" readingOrder="1"/>
    </xf>
    <xf numFmtId="170" fontId="24" fillId="0" borderId="14" xfId="59" applyNumberFormat="1" applyFont="1" applyBorder="1" applyAlignment="1">
      <alignment horizontal="right" vertical="top" wrapText="1" readingOrder="1"/>
    </xf>
    <xf numFmtId="0" fontId="1" fillId="30" borderId="0" xfId="58" applyFill="1"/>
    <xf numFmtId="4" fontId="1" fillId="0" borderId="6" xfId="58" applyNumberFormat="1" applyBorder="1"/>
    <xf numFmtId="4" fontId="2" fillId="30" borderId="6" xfId="58" applyNumberFormat="1" applyFont="1" applyFill="1" applyBorder="1"/>
    <xf numFmtId="0" fontId="1" fillId="30" borderId="26" xfId="58" applyFill="1" applyBorder="1" applyAlignment="1">
      <alignment horizontal="center"/>
    </xf>
    <xf numFmtId="4" fontId="1" fillId="30" borderId="26" xfId="58" applyNumberFormat="1" applyFill="1" applyBorder="1" applyAlignment="1">
      <alignment horizontal="center"/>
    </xf>
    <xf numFmtId="170" fontId="24" fillId="2" borderId="0" xfId="50" applyNumberFormat="1" applyFont="1" applyFill="1" applyAlignment="1">
      <alignment vertical="top" wrapText="1" readingOrder="1"/>
    </xf>
    <xf numFmtId="170" fontId="24" fillId="0" borderId="12" xfId="0" applyNumberFormat="1" applyFont="1" applyBorder="1" applyAlignment="1">
      <alignment horizontal="right" vertical="top" wrapText="1" readingOrder="1"/>
    </xf>
    <xf numFmtId="0" fontId="24" fillId="0" borderId="12" xfId="58" applyFont="1" applyBorder="1" applyAlignment="1">
      <alignment vertical="top" wrapText="1" readingOrder="1"/>
    </xf>
    <xf numFmtId="170" fontId="24" fillId="16" borderId="12" xfId="58" applyNumberFormat="1" applyFont="1" applyFill="1" applyBorder="1" applyAlignment="1">
      <alignment vertical="top" wrapText="1" readingOrder="1"/>
    </xf>
    <xf numFmtId="0" fontId="24" fillId="2" borderId="12" xfId="58" applyFont="1" applyFill="1" applyBorder="1" applyAlignment="1">
      <alignment vertical="top" readingOrder="1"/>
    </xf>
    <xf numFmtId="170" fontId="24" fillId="2" borderId="12" xfId="50" applyNumberFormat="1" applyFont="1" applyFill="1" applyBorder="1" applyAlignment="1">
      <alignment vertical="top" wrapText="1" readingOrder="1"/>
    </xf>
    <xf numFmtId="170" fontId="24" fillId="2" borderId="12" xfId="58" applyNumberFormat="1" applyFont="1" applyFill="1" applyBorder="1" applyAlignment="1">
      <alignment vertical="top" wrapText="1" readingOrder="1"/>
    </xf>
    <xf numFmtId="0" fontId="24" fillId="17" borderId="12" xfId="58" applyFont="1" applyFill="1" applyBorder="1" applyAlignment="1">
      <alignment vertical="top" readingOrder="1"/>
    </xf>
    <xf numFmtId="170" fontId="24" fillId="18" borderId="12" xfId="50" applyNumberFormat="1" applyFont="1" applyFill="1" applyBorder="1" applyAlignment="1">
      <alignment vertical="top" wrapText="1" readingOrder="1"/>
    </xf>
    <xf numFmtId="0" fontId="24" fillId="2" borderId="20" xfId="58" applyFont="1" applyFill="1" applyBorder="1" applyAlignment="1">
      <alignment vertical="top" readingOrder="1"/>
    </xf>
    <xf numFmtId="170" fontId="53" fillId="2" borderId="0" xfId="50" applyNumberFormat="1" applyFont="1" applyFill="1" applyAlignment="1">
      <alignment vertical="top" wrapText="1" readingOrder="1"/>
    </xf>
    <xf numFmtId="0" fontId="24" fillId="0" borderId="12" xfId="58" applyFont="1" applyBorder="1" applyAlignment="1">
      <alignment horizontal="left" vertical="center" wrapText="1" readingOrder="1"/>
    </xf>
    <xf numFmtId="170" fontId="24" fillId="29" borderId="16" xfId="58" applyNumberFormat="1" applyFont="1" applyFill="1" applyBorder="1" applyAlignment="1">
      <alignment vertical="top" wrapText="1" readingOrder="1"/>
    </xf>
    <xf numFmtId="169" fontId="24" fillId="0" borderId="14" xfId="0" applyNumberFormat="1" applyFont="1" applyBorder="1" applyAlignment="1">
      <alignment horizontal="center" vertical="top" wrapText="1" readingOrder="1"/>
    </xf>
    <xf numFmtId="170" fontId="24" fillId="0" borderId="14" xfId="0" applyNumberFormat="1" applyFont="1" applyBorder="1" applyAlignment="1">
      <alignment vertical="top" wrapText="1" readingOrder="1"/>
    </xf>
    <xf numFmtId="171" fontId="24" fillId="0" borderId="14" xfId="58" applyNumberFormat="1" applyFont="1" applyBorder="1" applyAlignment="1">
      <alignment vertical="top" wrapText="1" readingOrder="1"/>
    </xf>
    <xf numFmtId="169" fontId="24" fillId="0" borderId="12" xfId="58" applyNumberFormat="1" applyFont="1" applyBorder="1" applyAlignment="1">
      <alignment horizontal="center" vertical="top" wrapText="1" readingOrder="1"/>
    </xf>
    <xf numFmtId="0" fontId="24" fillId="29" borderId="12" xfId="58" applyFont="1" applyFill="1" applyBorder="1" applyAlignment="1">
      <alignment vertical="top" wrapText="1" readingOrder="1"/>
    </xf>
    <xf numFmtId="169" fontId="24" fillId="29" borderId="12" xfId="58" applyNumberFormat="1" applyFont="1" applyFill="1" applyBorder="1" applyAlignment="1">
      <alignment horizontal="center" vertical="top" wrapText="1" readingOrder="1"/>
    </xf>
    <xf numFmtId="170" fontId="24" fillId="29" borderId="12" xfId="58" applyNumberFormat="1" applyFont="1" applyFill="1" applyBorder="1" applyAlignment="1">
      <alignment vertical="top" wrapText="1" readingOrder="1"/>
    </xf>
    <xf numFmtId="4" fontId="1" fillId="2" borderId="0" xfId="58" applyNumberFormat="1" applyFill="1"/>
    <xf numFmtId="43" fontId="1" fillId="2" borderId="0" xfId="24" applyFont="1" applyFill="1"/>
    <xf numFmtId="169" fontId="24" fillId="0" borderId="14" xfId="0" applyNumberFormat="1" applyFont="1" applyBorder="1" applyAlignment="1">
      <alignment vertical="top" wrapText="1" readingOrder="1"/>
    </xf>
    <xf numFmtId="0" fontId="24" fillId="2" borderId="14" xfId="58" applyFont="1" applyFill="1" applyBorder="1" applyAlignment="1">
      <alignment vertical="top" wrapText="1" readingOrder="1"/>
    </xf>
    <xf numFmtId="171" fontId="24" fillId="0" borderId="14" xfId="0" applyNumberFormat="1" applyFont="1" applyBorder="1" applyAlignment="1">
      <alignment vertical="top" wrapText="1" readingOrder="1"/>
    </xf>
    <xf numFmtId="43" fontId="1" fillId="2" borderId="0" xfId="58" applyNumberFormat="1" applyFill="1"/>
    <xf numFmtId="43" fontId="24" fillId="2" borderId="14" xfId="24" applyFont="1" applyFill="1" applyBorder="1" applyAlignment="1">
      <alignment vertical="top" wrapText="1" readingOrder="1"/>
    </xf>
    <xf numFmtId="0" fontId="24" fillId="0" borderId="14" xfId="58" applyFont="1" applyBorder="1" applyAlignment="1">
      <alignment vertical="top" wrapText="1" readingOrder="1"/>
    </xf>
    <xf numFmtId="170" fontId="24" fillId="0" borderId="14" xfId="58" applyNumberFormat="1" applyFont="1" applyBorder="1" applyAlignment="1">
      <alignment vertical="top" wrapText="1" readingOrder="1"/>
    </xf>
    <xf numFmtId="0" fontId="24" fillId="0" borderId="15" xfId="58" applyFont="1" applyBorder="1" applyAlignment="1">
      <alignment vertical="top" wrapText="1" readingOrder="1"/>
    </xf>
    <xf numFmtId="165" fontId="24" fillId="0" borderId="14" xfId="24" applyNumberFormat="1" applyFont="1" applyBorder="1" applyAlignment="1">
      <alignment vertical="top" wrapText="1" readingOrder="1"/>
    </xf>
    <xf numFmtId="43" fontId="24" fillId="0" borderId="14" xfId="24" applyFont="1" applyBorder="1" applyAlignment="1">
      <alignment vertical="top" wrapText="1" readingOrder="1"/>
    </xf>
    <xf numFmtId="169" fontId="24" fillId="0" borderId="12" xfId="58" applyNumberFormat="1" applyFont="1" applyBorder="1" applyAlignment="1">
      <alignment vertical="top" wrapText="1" readingOrder="1"/>
    </xf>
    <xf numFmtId="0" fontId="24" fillId="0" borderId="13" xfId="58" applyFont="1" applyBorder="1" applyAlignment="1">
      <alignment vertical="top" readingOrder="1"/>
    </xf>
    <xf numFmtId="169" fontId="24" fillId="2" borderId="12" xfId="58" applyNumberFormat="1" applyFont="1" applyFill="1" applyBorder="1" applyAlignment="1">
      <alignment vertical="top" wrapText="1" readingOrder="1"/>
    </xf>
    <xf numFmtId="169" fontId="24" fillId="0" borderId="15" xfId="58" applyNumberFormat="1" applyFont="1" applyBorder="1" applyAlignment="1">
      <alignment vertical="top" wrapText="1" readingOrder="1"/>
    </xf>
    <xf numFmtId="44" fontId="48" fillId="0" borderId="0" xfId="48" applyFont="1" applyBorder="1"/>
    <xf numFmtId="14" fontId="48" fillId="0" borderId="0" xfId="48" applyNumberFormat="1" applyFont="1" applyBorder="1"/>
    <xf numFmtId="0" fontId="66" fillId="2" borderId="0" xfId="58" applyFont="1" applyFill="1" applyAlignment="1">
      <alignment vertical="center" readingOrder="1"/>
    </xf>
    <xf numFmtId="43" fontId="62" fillId="2" borderId="0" xfId="24" applyFont="1" applyFill="1" applyAlignment="1">
      <alignment vertical="center" readingOrder="1"/>
    </xf>
    <xf numFmtId="0" fontId="30" fillId="2" borderId="0" xfId="58" applyFont="1" applyFill="1" applyAlignment="1">
      <alignment horizontal="center"/>
    </xf>
    <xf numFmtId="0" fontId="67" fillId="0" borderId="0" xfId="1" applyFont="1" applyAlignment="1"/>
    <xf numFmtId="0" fontId="68" fillId="0" borderId="0" xfId="1" applyFont="1" applyAlignment="1"/>
    <xf numFmtId="0" fontId="69" fillId="0" borderId="12" xfId="58" applyFont="1" applyBorder="1" applyAlignment="1">
      <alignment vertical="top" readingOrder="1"/>
    </xf>
    <xf numFmtId="170" fontId="69" fillId="0" borderId="12" xfId="50" applyNumberFormat="1" applyFont="1" applyBorder="1" applyAlignment="1">
      <alignment vertical="top" wrapText="1" readingOrder="1"/>
    </xf>
    <xf numFmtId="0" fontId="69" fillId="0" borderId="20" xfId="58" applyFont="1" applyBorder="1" applyAlignment="1">
      <alignment vertical="top" readingOrder="1"/>
    </xf>
    <xf numFmtId="0" fontId="69" fillId="29" borderId="16" xfId="58" applyFont="1" applyFill="1" applyBorder="1" applyAlignment="1">
      <alignment vertical="top" readingOrder="1"/>
    </xf>
    <xf numFmtId="170" fontId="69" fillId="29" borderId="16" xfId="58" applyNumberFormat="1" applyFont="1" applyFill="1" applyBorder="1" applyAlignment="1">
      <alignment vertical="top" readingOrder="1"/>
    </xf>
    <xf numFmtId="49" fontId="15" fillId="7" borderId="5" xfId="60" applyNumberFormat="1" applyFont="1" applyFill="1" applyBorder="1" applyAlignment="1">
      <alignment horizontal="left" vertical="center"/>
    </xf>
    <xf numFmtId="0" fontId="69" fillId="2" borderId="12" xfId="58" applyFont="1" applyFill="1" applyBorder="1" applyAlignment="1">
      <alignment vertical="top" readingOrder="1"/>
    </xf>
    <xf numFmtId="0" fontId="69" fillId="17" borderId="12" xfId="58" applyFont="1" applyFill="1" applyBorder="1" applyAlignment="1">
      <alignment vertical="top" readingOrder="1"/>
    </xf>
    <xf numFmtId="0" fontId="69" fillId="2" borderId="20" xfId="58" applyFont="1" applyFill="1" applyBorder="1" applyAlignment="1">
      <alignment vertical="top" readingOrder="1"/>
    </xf>
    <xf numFmtId="0" fontId="70" fillId="0" borderId="3" xfId="1" applyFont="1" applyBorder="1" applyAlignment="1">
      <alignment horizontal="center"/>
    </xf>
    <xf numFmtId="0" fontId="70" fillId="5" borderId="3" xfId="1" applyFont="1" applyFill="1" applyBorder="1" applyAlignment="1">
      <alignment horizontal="center"/>
    </xf>
    <xf numFmtId="0" fontId="16" fillId="0" borderId="0" xfId="1" applyFont="1" applyAlignment="1"/>
    <xf numFmtId="0" fontId="71" fillId="0" borderId="0" xfId="1" applyFont="1" applyAlignment="1"/>
    <xf numFmtId="49" fontId="48" fillId="0" borderId="55" xfId="0" applyNumberFormat="1" applyFont="1" applyBorder="1"/>
    <xf numFmtId="44" fontId="48" fillId="0" borderId="55" xfId="48" applyFont="1" applyBorder="1" applyAlignment="1"/>
    <xf numFmtId="44" fontId="48" fillId="0" borderId="55" xfId="48" applyFont="1" applyBorder="1" applyAlignment="1">
      <alignment horizontal="center"/>
    </xf>
    <xf numFmtId="44" fontId="48" fillId="0" borderId="55" xfId="48" applyFont="1" applyBorder="1"/>
    <xf numFmtId="14" fontId="48" fillId="0" borderId="55" xfId="48" applyNumberFormat="1" applyFont="1" applyBorder="1"/>
    <xf numFmtId="0" fontId="63" fillId="33" borderId="0" xfId="58" applyFont="1" applyFill="1"/>
    <xf numFmtId="0" fontId="64" fillId="34" borderId="0" xfId="58" applyFont="1" applyFill="1" applyAlignment="1">
      <alignment vertical="center" readingOrder="1"/>
    </xf>
    <xf numFmtId="0" fontId="65" fillId="34" borderId="0" xfId="58" applyFont="1" applyFill="1" applyAlignment="1">
      <alignment vertical="center" wrapText="1" readingOrder="1"/>
    </xf>
    <xf numFmtId="0" fontId="65" fillId="34" borderId="52" xfId="58" applyFont="1" applyFill="1" applyBorder="1" applyAlignment="1">
      <alignment vertical="center" wrapText="1" readingOrder="1"/>
    </xf>
    <xf numFmtId="0" fontId="64" fillId="34" borderId="53" xfId="58" applyFont="1" applyFill="1" applyBorder="1" applyAlignment="1">
      <alignment vertical="center" readingOrder="1"/>
    </xf>
    <xf numFmtId="0" fontId="65" fillId="34" borderId="53" xfId="58" applyFont="1" applyFill="1" applyBorder="1" applyAlignment="1">
      <alignment vertical="center" wrapText="1" readingOrder="1"/>
    </xf>
    <xf numFmtId="0" fontId="65" fillId="34" borderId="19" xfId="58" applyFont="1" applyFill="1" applyBorder="1" applyAlignment="1">
      <alignment vertical="center" wrapText="1" readingOrder="1"/>
    </xf>
    <xf numFmtId="0" fontId="64" fillId="34" borderId="57" xfId="58" applyFont="1" applyFill="1" applyBorder="1" applyAlignment="1">
      <alignment vertical="center" wrapText="1" readingOrder="1"/>
    </xf>
    <xf numFmtId="0" fontId="64" fillId="34" borderId="57" xfId="58" applyFont="1" applyFill="1" applyBorder="1" applyAlignment="1">
      <alignment vertical="center" readingOrder="1"/>
    </xf>
    <xf numFmtId="0" fontId="13" fillId="33" borderId="57" xfId="58" applyFont="1" applyFill="1" applyBorder="1" applyAlignment="1">
      <alignment vertical="center"/>
    </xf>
    <xf numFmtId="0" fontId="13" fillId="33" borderId="58" xfId="58" applyFont="1" applyFill="1" applyBorder="1" applyAlignment="1">
      <alignment vertical="center"/>
    </xf>
    <xf numFmtId="0" fontId="65" fillId="34" borderId="62" xfId="58" applyFont="1" applyFill="1" applyBorder="1" applyAlignment="1">
      <alignment vertical="top" wrapText="1" readingOrder="1"/>
    </xf>
    <xf numFmtId="0" fontId="64" fillId="34" borderId="62" xfId="58" applyFont="1" applyFill="1" applyBorder="1" applyAlignment="1">
      <alignment vertical="top" wrapText="1" readingOrder="1"/>
    </xf>
    <xf numFmtId="0" fontId="65" fillId="34" borderId="63" xfId="58" applyFont="1" applyFill="1" applyBorder="1" applyAlignment="1">
      <alignment vertical="top" wrapText="1" readingOrder="1"/>
    </xf>
    <xf numFmtId="0" fontId="24" fillId="0" borderId="15" xfId="58" applyFont="1" applyBorder="1" applyAlignment="1">
      <alignment vertical="top" readingOrder="1"/>
    </xf>
    <xf numFmtId="0" fontId="24" fillId="0" borderId="64" xfId="58" applyFont="1" applyBorder="1" applyAlignment="1">
      <alignment vertical="top" readingOrder="1"/>
    </xf>
    <xf numFmtId="0" fontId="24" fillId="29" borderId="11" xfId="58" applyFont="1" applyFill="1" applyBorder="1" applyAlignment="1">
      <alignment vertical="top" readingOrder="1"/>
    </xf>
    <xf numFmtId="49" fontId="11" fillId="7" borderId="37" xfId="60" applyNumberFormat="1" applyFont="1" applyFill="1" applyBorder="1" applyAlignment="1">
      <alignment horizontal="left" vertical="center"/>
    </xf>
    <xf numFmtId="0" fontId="63" fillId="33" borderId="0" xfId="58" applyFont="1" applyFill="1" applyAlignment="1">
      <alignment horizontal="center"/>
    </xf>
    <xf numFmtId="0" fontId="1" fillId="33" borderId="51" xfId="58" applyFill="1" applyBorder="1" applyAlignment="1">
      <alignment horizontal="center" vertical="center"/>
    </xf>
    <xf numFmtId="0" fontId="1" fillId="0" borderId="66" xfId="58" applyBorder="1" applyAlignment="1">
      <alignment horizontal="center"/>
    </xf>
    <xf numFmtId="0" fontId="1" fillId="0" borderId="13" xfId="58" applyBorder="1" applyAlignment="1">
      <alignment horizontal="center"/>
    </xf>
    <xf numFmtId="0" fontId="1" fillId="29" borderId="67" xfId="58" applyFill="1" applyBorder="1" applyAlignment="1">
      <alignment horizontal="center"/>
    </xf>
    <xf numFmtId="0" fontId="1" fillId="33" borderId="65" xfId="58" applyFill="1" applyBorder="1" applyAlignment="1">
      <alignment horizontal="center" vertical="center"/>
    </xf>
    <xf numFmtId="0" fontId="1" fillId="2" borderId="13" xfId="58" applyFill="1" applyBorder="1" applyAlignment="1">
      <alignment horizontal="center"/>
    </xf>
    <xf numFmtId="0" fontId="1" fillId="33" borderId="18" xfId="58" applyFill="1" applyBorder="1" applyAlignment="1">
      <alignment horizontal="center" vertical="center"/>
    </xf>
    <xf numFmtId="0" fontId="1" fillId="0" borderId="68" xfId="58" applyBorder="1" applyAlignment="1">
      <alignment horizontal="center"/>
    </xf>
    <xf numFmtId="0" fontId="1" fillId="0" borderId="15" xfId="58" applyBorder="1" applyAlignment="1">
      <alignment horizontal="center"/>
    </xf>
    <xf numFmtId="0" fontId="1" fillId="33" borderId="69" xfId="58" applyFill="1" applyBorder="1" applyAlignment="1">
      <alignment horizontal="center" vertical="center"/>
    </xf>
    <xf numFmtId="0" fontId="1" fillId="29" borderId="15" xfId="58" applyFill="1" applyBorder="1" applyAlignment="1">
      <alignment horizontal="center"/>
    </xf>
    <xf numFmtId="0" fontId="1" fillId="2" borderId="15" xfId="58" applyFill="1" applyBorder="1" applyAlignment="1">
      <alignment horizontal="center"/>
    </xf>
    <xf numFmtId="0" fontId="2" fillId="33" borderId="70" xfId="58" applyFont="1" applyFill="1" applyBorder="1" applyAlignment="1">
      <alignment horizontal="center" vertical="center" wrapText="1"/>
    </xf>
    <xf numFmtId="0" fontId="2" fillId="33" borderId="70" xfId="58" applyFont="1" applyFill="1" applyBorder="1" applyAlignment="1">
      <alignment horizontal="center" vertical="center"/>
    </xf>
    <xf numFmtId="0" fontId="1" fillId="33" borderId="71" xfId="58" applyFill="1" applyBorder="1" applyAlignment="1">
      <alignment horizontal="center"/>
    </xf>
    <xf numFmtId="0" fontId="2" fillId="29" borderId="13" xfId="58" applyFont="1" applyFill="1" applyBorder="1" applyAlignment="1">
      <alignment horizontal="center"/>
    </xf>
    <xf numFmtId="0" fontId="62" fillId="29" borderId="11" xfId="58" applyFont="1" applyFill="1" applyBorder="1" applyAlignment="1">
      <alignment vertical="top" readingOrder="1"/>
    </xf>
    <xf numFmtId="170" fontId="62" fillId="29" borderId="16" xfId="58" applyNumberFormat="1" applyFont="1" applyFill="1" applyBorder="1" applyAlignment="1">
      <alignment vertical="top" readingOrder="1"/>
    </xf>
    <xf numFmtId="171" fontId="24" fillId="0" borderId="12" xfId="58" applyNumberFormat="1" applyFont="1" applyBorder="1" applyAlignment="1">
      <alignment horizontal="center" vertical="top" wrapText="1" readingOrder="1"/>
    </xf>
    <xf numFmtId="171" fontId="24" fillId="29" borderId="12" xfId="58" applyNumberFormat="1" applyFont="1" applyFill="1" applyBorder="1" applyAlignment="1">
      <alignment horizontal="center" vertical="top" wrapText="1" readingOrder="1"/>
    </xf>
    <xf numFmtId="171" fontId="24" fillId="0" borderId="14" xfId="58" applyNumberFormat="1" applyFont="1" applyBorder="1" applyAlignment="1">
      <alignment horizontal="center" vertical="top" wrapText="1" readingOrder="1"/>
    </xf>
    <xf numFmtId="10" fontId="24" fillId="29" borderId="14" xfId="61" applyNumberFormat="1" applyFont="1" applyFill="1" applyBorder="1" applyAlignment="1">
      <alignment horizontal="center" vertical="top" wrapText="1" readingOrder="1"/>
    </xf>
    <xf numFmtId="0" fontId="64" fillId="34" borderId="57" xfId="58" applyFont="1" applyFill="1" applyBorder="1" applyAlignment="1">
      <alignment horizontal="center" vertical="center" wrapText="1" readingOrder="1"/>
    </xf>
    <xf numFmtId="0" fontId="13" fillId="33" borderId="58" xfId="58" applyFont="1" applyFill="1" applyBorder="1" applyAlignment="1">
      <alignment horizontal="center" vertical="center" wrapText="1"/>
    </xf>
    <xf numFmtId="0" fontId="13" fillId="33" borderId="57" xfId="58" applyFont="1" applyFill="1" applyBorder="1" applyAlignment="1">
      <alignment horizontal="center" vertical="center" wrapText="1"/>
    </xf>
    <xf numFmtId="49" fontId="30" fillId="2" borderId="0" xfId="58" applyNumberFormat="1" applyFont="1" applyFill="1"/>
    <xf numFmtId="0" fontId="33" fillId="2" borderId="0" xfId="58" applyFont="1" applyFill="1" applyAlignment="1">
      <alignment vertical="center" wrapText="1" readingOrder="1"/>
    </xf>
    <xf numFmtId="43" fontId="4" fillId="0" borderId="0" xfId="1" applyNumberFormat="1" applyFont="1" applyAlignment="1"/>
    <xf numFmtId="43" fontId="73" fillId="0" borderId="0" xfId="24" applyFont="1"/>
    <xf numFmtId="170" fontId="24" fillId="0" borderId="16" xfId="50" applyNumberFormat="1" applyFont="1" applyBorder="1" applyAlignment="1">
      <alignment vertical="top" wrapText="1" readingOrder="1"/>
    </xf>
    <xf numFmtId="49" fontId="48" fillId="0" borderId="55" xfId="0" applyNumberFormat="1" applyFont="1" applyBorder="1" applyAlignment="1">
      <alignment horizontal="left"/>
    </xf>
    <xf numFmtId="49" fontId="48" fillId="0" borderId="55" xfId="48" applyNumberFormat="1" applyFont="1" applyBorder="1"/>
    <xf numFmtId="44" fontId="48" fillId="0" borderId="55" xfId="48" applyFont="1" applyBorder="1" applyAlignment="1">
      <alignment horizontal="left"/>
    </xf>
    <xf numFmtId="183" fontId="24" fillId="0" borderId="15" xfId="58" applyNumberFormat="1" applyFont="1" applyBorder="1" applyAlignment="1">
      <alignment vertical="top" wrapText="1" readingOrder="1"/>
    </xf>
    <xf numFmtId="183" fontId="24" fillId="0" borderId="12" xfId="50" applyNumberFormat="1" applyFont="1" applyBorder="1" applyAlignment="1">
      <alignment vertical="top" wrapText="1" readingOrder="1"/>
    </xf>
    <xf numFmtId="43" fontId="24" fillId="29" borderId="16" xfId="24" applyFont="1" applyFill="1" applyBorder="1" applyAlignment="1">
      <alignment vertical="top" readingOrder="1"/>
    </xf>
    <xf numFmtId="43" fontId="26" fillId="0" borderId="6" xfId="24" applyFont="1" applyFill="1" applyBorder="1" applyAlignment="1">
      <alignment horizontal="left"/>
    </xf>
    <xf numFmtId="0" fontId="26" fillId="0" borderId="6" xfId="24" applyNumberFormat="1" applyFont="1" applyFill="1" applyBorder="1" applyAlignment="1">
      <alignment horizontal="center"/>
    </xf>
    <xf numFmtId="0" fontId="48" fillId="0" borderId="55" xfId="0" applyFont="1" applyBorder="1" applyAlignment="1">
      <alignment horizontal="center"/>
    </xf>
    <xf numFmtId="44" fontId="75" fillId="3" borderId="88" xfId="0" applyNumberFormat="1" applyFont="1" applyFill="1" applyBorder="1"/>
    <xf numFmtId="44" fontId="75" fillId="3" borderId="93" xfId="0" applyNumberFormat="1" applyFont="1" applyFill="1" applyBorder="1"/>
    <xf numFmtId="44" fontId="0" fillId="38" borderId="90" xfId="0" applyNumberFormat="1" applyFill="1" applyBorder="1"/>
    <xf numFmtId="184" fontId="16" fillId="0" borderId="0" xfId="1" applyNumberFormat="1" applyFont="1" applyAlignment="1"/>
    <xf numFmtId="43" fontId="31" fillId="2" borderId="0" xfId="24" applyFont="1" applyFill="1"/>
    <xf numFmtId="9" fontId="1" fillId="2" borderId="0" xfId="68" applyFont="1" applyFill="1"/>
    <xf numFmtId="0" fontId="1" fillId="12" borderId="0" xfId="69" applyFont="1" applyFill="1"/>
    <xf numFmtId="0" fontId="76" fillId="0" borderId="0" xfId="69"/>
    <xf numFmtId="164" fontId="1" fillId="12" borderId="0" xfId="69" applyNumberFormat="1" applyFont="1" applyFill="1"/>
    <xf numFmtId="15" fontId="36" fillId="36" borderId="0" xfId="69" applyNumberFormat="1" applyFont="1" applyFill="1" applyAlignment="1">
      <alignment horizontal="center"/>
    </xf>
    <xf numFmtId="173" fontId="36" fillId="36" borderId="0" xfId="69" applyNumberFormat="1" applyFont="1" applyFill="1"/>
    <xf numFmtId="0" fontId="1" fillId="12" borderId="74" xfId="69" applyFont="1" applyFill="1" applyBorder="1"/>
    <xf numFmtId="164" fontId="1" fillId="12" borderId="74" xfId="69" applyNumberFormat="1" applyFont="1" applyFill="1" applyBorder="1" applyAlignment="1">
      <alignment horizontal="right" vertical="center"/>
    </xf>
    <xf numFmtId="185" fontId="1" fillId="12" borderId="74" xfId="69" applyNumberFormat="1" applyFont="1" applyFill="1" applyBorder="1" applyAlignment="1">
      <alignment horizontal="center"/>
    </xf>
    <xf numFmtId="181" fontId="1" fillId="12" borderId="74" xfId="69" applyNumberFormat="1" applyFont="1" applyFill="1" applyBorder="1"/>
    <xf numFmtId="0" fontId="2" fillId="12" borderId="0" xfId="69" applyFont="1" applyFill="1" applyAlignment="1">
      <alignment wrapText="1"/>
    </xf>
    <xf numFmtId="164" fontId="77" fillId="12" borderId="0" xfId="69" applyNumberFormat="1" applyFont="1" applyFill="1" applyAlignment="1">
      <alignment vertical="center" wrapText="1"/>
    </xf>
    <xf numFmtId="0" fontId="1" fillId="12" borderId="0" xfId="69" applyFont="1" applyFill="1" applyAlignment="1">
      <alignment wrapText="1"/>
    </xf>
    <xf numFmtId="164" fontId="77" fillId="12" borderId="0" xfId="69" applyNumberFormat="1" applyFont="1" applyFill="1" applyAlignment="1">
      <alignment vertical="center"/>
    </xf>
    <xf numFmtId="164" fontId="36" fillId="36" borderId="74" xfId="69" applyNumberFormat="1" applyFont="1" applyFill="1" applyBorder="1" applyAlignment="1">
      <alignment horizontal="left" vertical="center"/>
    </xf>
    <xf numFmtId="164" fontId="36" fillId="36" borderId="74" xfId="69" applyNumberFormat="1" applyFont="1" applyFill="1" applyBorder="1" applyAlignment="1">
      <alignment horizontal="right" vertical="center"/>
    </xf>
    <xf numFmtId="0" fontId="2" fillId="12" borderId="0" xfId="69" applyFont="1" applyFill="1"/>
    <xf numFmtId="164" fontId="36" fillId="36" borderId="47" xfId="69" applyNumberFormat="1" applyFont="1" applyFill="1" applyBorder="1" applyAlignment="1">
      <alignment horizontal="center" vertical="center" wrapText="1"/>
    </xf>
    <xf numFmtId="10" fontId="1" fillId="12" borderId="74" xfId="69" applyNumberFormat="1" applyFont="1" applyFill="1" applyBorder="1" applyAlignment="1">
      <alignment horizontal="center"/>
    </xf>
    <xf numFmtId="164" fontId="1" fillId="12" borderId="74" xfId="69" applyNumberFormat="1" applyFont="1" applyFill="1" applyBorder="1" applyAlignment="1">
      <alignment horizontal="left" vertical="center"/>
    </xf>
    <xf numFmtId="181" fontId="1" fillId="12" borderId="73" xfId="69" applyNumberFormat="1" applyFont="1" applyFill="1" applyBorder="1"/>
    <xf numFmtId="164" fontId="1" fillId="12" borderId="0" xfId="69" applyNumberFormat="1" applyFont="1" applyFill="1" applyAlignment="1">
      <alignment horizontal="right" vertical="center"/>
    </xf>
    <xf numFmtId="10" fontId="1" fillId="12" borderId="0" xfId="69" applyNumberFormat="1" applyFont="1" applyFill="1" applyAlignment="1">
      <alignment horizontal="center"/>
    </xf>
    <xf numFmtId="181" fontId="1" fillId="12" borderId="0" xfId="69" applyNumberFormat="1" applyFont="1" applyFill="1"/>
    <xf numFmtId="164" fontId="36" fillId="34" borderId="72" xfId="69" applyNumberFormat="1" applyFont="1" applyFill="1" applyBorder="1" applyAlignment="1">
      <alignment horizontal="center" wrapText="1"/>
    </xf>
    <xf numFmtId="17" fontId="78" fillId="12" borderId="97" xfId="69" applyNumberFormat="1" applyFont="1" applyFill="1" applyBorder="1" applyAlignment="1">
      <alignment horizontal="center" wrapText="1" readingOrder="1"/>
    </xf>
    <xf numFmtId="186" fontId="78" fillId="0" borderId="97" xfId="69" applyNumberFormat="1" applyFont="1" applyBorder="1" applyAlignment="1">
      <alignment horizontal="center" wrapText="1" readingOrder="1"/>
    </xf>
    <xf numFmtId="181" fontId="78" fillId="12" borderId="97" xfId="69" applyNumberFormat="1" applyFont="1" applyFill="1" applyBorder="1" applyAlignment="1">
      <alignment horizontal="center" wrapText="1" readingOrder="1"/>
    </xf>
    <xf numFmtId="0" fontId="76" fillId="2" borderId="0" xfId="69" applyFill="1"/>
    <xf numFmtId="164" fontId="23" fillId="0" borderId="0" xfId="69" applyNumberFormat="1" applyFont="1" applyAlignment="1">
      <alignment horizontal="left" vertical="center"/>
    </xf>
    <xf numFmtId="164" fontId="30" fillId="0" borderId="0" xfId="69" applyNumberFormat="1" applyFont="1" applyAlignment="1">
      <alignment horizontal="left" vertical="center"/>
    </xf>
    <xf numFmtId="0" fontId="53" fillId="2" borderId="0" xfId="58" applyFont="1" applyFill="1"/>
    <xf numFmtId="4" fontId="71" fillId="0" borderId="0" xfId="1" applyNumberFormat="1" applyFont="1" applyAlignment="1"/>
    <xf numFmtId="43" fontId="71" fillId="0" borderId="0" xfId="24" applyFont="1" applyAlignment="1"/>
    <xf numFmtId="43" fontId="5" fillId="5" borderId="6" xfId="24" applyFont="1" applyFill="1" applyBorder="1" applyAlignment="1"/>
    <xf numFmtId="43" fontId="48" fillId="0" borderId="55" xfId="24" applyFont="1" applyBorder="1"/>
    <xf numFmtId="174" fontId="48" fillId="0" borderId="55" xfId="48" applyNumberFormat="1" applyFont="1" applyBorder="1" applyAlignment="1"/>
    <xf numFmtId="174" fontId="48" fillId="0" borderId="55" xfId="48" applyNumberFormat="1" applyFont="1" applyBorder="1" applyAlignment="1">
      <alignment horizontal="center"/>
    </xf>
    <xf numFmtId="180" fontId="48" fillId="0" borderId="55" xfId="48" applyNumberFormat="1" applyFont="1" applyBorder="1" applyAlignment="1">
      <alignment horizontal="center"/>
    </xf>
    <xf numFmtId="188" fontId="48" fillId="0" borderId="55" xfId="48" applyNumberFormat="1" applyFont="1" applyBorder="1"/>
    <xf numFmtId="14" fontId="48" fillId="0" borderId="55" xfId="48" applyNumberFormat="1" applyFont="1" applyBorder="1" applyAlignment="1">
      <alignment horizontal="center"/>
    </xf>
    <xf numFmtId="17" fontId="48" fillId="0" borderId="55" xfId="0" applyNumberFormat="1" applyFont="1" applyBorder="1" applyAlignment="1">
      <alignment horizontal="center"/>
    </xf>
    <xf numFmtId="4" fontId="84" fillId="39" borderId="54" xfId="0" applyNumberFormat="1" applyFont="1" applyFill="1" applyBorder="1" applyAlignment="1">
      <alignment horizontal="center" wrapText="1"/>
    </xf>
    <xf numFmtId="0" fontId="73" fillId="0" borderId="0" xfId="62" applyFont="1"/>
    <xf numFmtId="0" fontId="86" fillId="0" borderId="0" xfId="62" applyFont="1"/>
    <xf numFmtId="181" fontId="88" fillId="34" borderId="72" xfId="62" applyNumberFormat="1" applyFont="1" applyFill="1" applyBorder="1" applyAlignment="1">
      <alignment horizontal="center" vertical="center" wrapText="1"/>
    </xf>
    <xf numFmtId="181" fontId="88" fillId="34" borderId="47" xfId="62" applyNumberFormat="1" applyFont="1" applyFill="1" applyBorder="1" applyAlignment="1">
      <alignment horizontal="center" vertical="center" wrapText="1"/>
    </xf>
    <xf numFmtId="0" fontId="73" fillId="12" borderId="6" xfId="62" applyFont="1" applyFill="1" applyBorder="1" applyAlignment="1">
      <alignment vertical="center"/>
    </xf>
    <xf numFmtId="181" fontId="73" fillId="12" borderId="73" xfId="62" applyNumberFormat="1" applyFont="1" applyFill="1" applyBorder="1" applyAlignment="1">
      <alignment horizontal="center" vertical="center"/>
    </xf>
    <xf numFmtId="181" fontId="73" fillId="12" borderId="74" xfId="62" applyNumberFormat="1" applyFont="1" applyFill="1" applyBorder="1"/>
    <xf numFmtId="182" fontId="73" fillId="12" borderId="74" xfId="62" applyNumberFormat="1" applyFont="1" applyFill="1" applyBorder="1" applyAlignment="1">
      <alignment horizontal="center" vertical="center"/>
    </xf>
    <xf numFmtId="164" fontId="73" fillId="0" borderId="0" xfId="62" applyNumberFormat="1" applyFont="1"/>
    <xf numFmtId="181" fontId="89" fillId="35" borderId="74" xfId="62" applyNumberFormat="1" applyFont="1" applyFill="1" applyBorder="1" applyAlignment="1">
      <alignment horizontal="left" vertical="center"/>
    </xf>
    <xf numFmtId="181" fontId="89" fillId="35" borderId="74" xfId="62" applyNumberFormat="1" applyFont="1" applyFill="1" applyBorder="1" applyAlignment="1">
      <alignment horizontal="right" vertical="center"/>
    </xf>
    <xf numFmtId="181" fontId="73" fillId="12" borderId="74" xfId="62" applyNumberFormat="1" applyFont="1" applyFill="1" applyBorder="1" applyAlignment="1">
      <alignment horizontal="center" vertical="center"/>
    </xf>
    <xf numFmtId="181" fontId="89" fillId="0" borderId="0" xfId="62" applyNumberFormat="1" applyFont="1" applyAlignment="1">
      <alignment horizontal="left" vertical="center"/>
    </xf>
    <xf numFmtId="181" fontId="89" fillId="0" borderId="0" xfId="62" applyNumberFormat="1" applyFont="1" applyAlignment="1">
      <alignment horizontal="right" vertical="center"/>
    </xf>
    <xf numFmtId="181" fontId="73" fillId="12" borderId="75" xfId="62" applyNumberFormat="1" applyFont="1" applyFill="1" applyBorder="1"/>
    <xf numFmtId="181" fontId="73" fillId="12" borderId="73" xfId="62" applyNumberFormat="1" applyFont="1" applyFill="1" applyBorder="1"/>
    <xf numFmtId="0" fontId="73" fillId="12" borderId="6" xfId="62" applyFont="1" applyFill="1" applyBorder="1" applyAlignment="1">
      <alignment horizontal="center" vertical="center"/>
    </xf>
    <xf numFmtId="43" fontId="89" fillId="35" borderId="74" xfId="24" applyFont="1" applyFill="1" applyBorder="1" applyAlignment="1">
      <alignment horizontal="left" vertical="center"/>
    </xf>
    <xf numFmtId="43" fontId="60" fillId="0" borderId="0" xfId="24" applyFont="1"/>
    <xf numFmtId="43" fontId="73" fillId="0" borderId="0" xfId="62" applyNumberFormat="1" applyFont="1"/>
    <xf numFmtId="181" fontId="90" fillId="0" borderId="0" xfId="62" applyNumberFormat="1" applyFont="1"/>
    <xf numFmtId="0" fontId="83" fillId="36" borderId="0" xfId="69" applyFont="1" applyFill="1"/>
    <xf numFmtId="0" fontId="86" fillId="0" borderId="0" xfId="69" applyFont="1"/>
    <xf numFmtId="0" fontId="91" fillId="36" borderId="103" xfId="0" applyFont="1" applyFill="1" applyBorder="1" applyAlignment="1">
      <alignment horizontal="center" vertical="center" wrapText="1"/>
    </xf>
    <xf numFmtId="0" fontId="91" fillId="36" borderId="104" xfId="0" applyFont="1" applyFill="1" applyBorder="1" applyAlignment="1">
      <alignment horizontal="center" vertical="center" wrapText="1"/>
    </xf>
    <xf numFmtId="9" fontId="91" fillId="36" borderId="105" xfId="0" applyNumberFormat="1" applyFont="1" applyFill="1" applyBorder="1" applyAlignment="1">
      <alignment horizontal="center" vertical="center" wrapText="1"/>
    </xf>
    <xf numFmtId="49" fontId="86" fillId="12" borderId="47" xfId="0" applyNumberFormat="1" applyFont="1" applyFill="1" applyBorder="1"/>
    <xf numFmtId="43" fontId="86" fillId="12" borderId="47" xfId="52" applyFont="1" applyFill="1" applyBorder="1"/>
    <xf numFmtId="9" fontId="86" fillId="12" borderId="47" xfId="70" applyFont="1" applyFill="1" applyBorder="1" applyAlignment="1">
      <alignment horizontal="center"/>
    </xf>
    <xf numFmtId="0" fontId="73" fillId="12" borderId="0" xfId="0" applyFont="1" applyFill="1"/>
    <xf numFmtId="49" fontId="73" fillId="12" borderId="0" xfId="0" applyNumberFormat="1" applyFont="1" applyFill="1"/>
    <xf numFmtId="43" fontId="73" fillId="12" borderId="0" xfId="52" applyFont="1" applyFill="1" applyBorder="1"/>
    <xf numFmtId="187" fontId="73" fillId="12" borderId="0" xfId="70" applyNumberFormat="1" applyFont="1" applyFill="1" applyBorder="1" applyAlignment="1">
      <alignment horizontal="center"/>
    </xf>
    <xf numFmtId="9" fontId="73" fillId="12" borderId="0" xfId="70" applyFont="1" applyFill="1" applyBorder="1" applyAlignment="1">
      <alignment horizontal="center"/>
    </xf>
    <xf numFmtId="43" fontId="73" fillId="12" borderId="0" xfId="52" applyFont="1" applyFill="1" applyBorder="1" applyAlignment="1">
      <alignment horizontal="center"/>
    </xf>
    <xf numFmtId="0" fontId="94" fillId="0" borderId="0" xfId="0" applyFont="1" applyAlignment="1">
      <alignment vertical="center"/>
    </xf>
    <xf numFmtId="0" fontId="95" fillId="0" borderId="0" xfId="0" applyFont="1" applyAlignment="1">
      <alignment horizontal="center" vertical="center" wrapText="1"/>
    </xf>
    <xf numFmtId="164" fontId="84" fillId="32" borderId="59" xfId="30" applyFont="1" applyFill="1" applyBorder="1" applyAlignment="1">
      <alignment horizontal="center" vertical="center" wrapText="1"/>
    </xf>
    <xf numFmtId="164" fontId="84" fillId="32" borderId="60" xfId="30" applyFont="1" applyFill="1" applyBorder="1" applyAlignment="1">
      <alignment horizontal="center" vertical="center" wrapText="1"/>
    </xf>
    <xf numFmtId="164" fontId="84" fillId="32" borderId="61" xfId="30" applyFont="1" applyFill="1" applyBorder="1" applyAlignment="1">
      <alignment horizontal="center" vertical="center" wrapText="1"/>
    </xf>
    <xf numFmtId="1" fontId="61" fillId="0" borderId="0" xfId="0" applyNumberFormat="1" applyFont="1" applyAlignment="1">
      <alignment horizontal="right"/>
    </xf>
    <xf numFmtId="0" fontId="61" fillId="0" borderId="0" xfId="0" applyFont="1"/>
    <xf numFmtId="14" fontId="61" fillId="0" borderId="0" xfId="0" applyNumberFormat="1" applyFont="1" applyAlignment="1">
      <alignment horizontal="right"/>
    </xf>
    <xf numFmtId="43" fontId="61" fillId="0" borderId="0" xfId="24" applyFont="1" applyAlignment="1">
      <alignment horizontal="right"/>
    </xf>
    <xf numFmtId="14" fontId="0" fillId="0" borderId="0" xfId="0" applyNumberFormat="1"/>
    <xf numFmtId="0" fontId="95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88" fillId="31" borderId="54" xfId="0" applyFont="1" applyFill="1" applyBorder="1" applyAlignment="1" applyProtection="1">
      <alignment horizontal="center" vertical="center" wrapText="1"/>
      <protection hidden="1"/>
    </xf>
    <xf numFmtId="44" fontId="88" fillId="31" borderId="54" xfId="43" applyFont="1" applyFill="1" applyBorder="1" applyAlignment="1" applyProtection="1">
      <alignment horizontal="center" vertical="center" wrapText="1"/>
      <protection hidden="1"/>
    </xf>
    <xf numFmtId="164" fontId="74" fillId="0" borderId="0" xfId="2" applyFont="1"/>
    <xf numFmtId="0" fontId="0" fillId="0" borderId="0" xfId="0" applyAlignment="1">
      <alignment horizontal="center"/>
    </xf>
    <xf numFmtId="0" fontId="63" fillId="0" borderId="0" xfId="10" applyFont="1" applyAlignment="1"/>
    <xf numFmtId="0" fontId="99" fillId="0" borderId="0" xfId="10" applyFont="1" applyAlignment="1"/>
    <xf numFmtId="0" fontId="100" fillId="0" borderId="0" xfId="10" applyFont="1" applyAlignment="1"/>
    <xf numFmtId="0" fontId="100" fillId="0" borderId="0" xfId="10" applyFont="1" applyAlignment="1">
      <alignment horizontal="center"/>
    </xf>
    <xf numFmtId="0" fontId="101" fillId="0" borderId="0" xfId="10" applyFont="1" applyAlignment="1"/>
    <xf numFmtId="0" fontId="101" fillId="0" borderId="0" xfId="10" applyFont="1" applyAlignment="1">
      <alignment horizontal="center"/>
    </xf>
    <xf numFmtId="0" fontId="79" fillId="33" borderId="56" xfId="10" applyFont="1" applyFill="1" applyBorder="1" applyAlignment="1">
      <alignment horizontal="center" vertical="center" wrapText="1"/>
    </xf>
    <xf numFmtId="0" fontId="79" fillId="33" borderId="57" xfId="10" applyFont="1" applyFill="1" applyBorder="1" applyAlignment="1">
      <alignment horizontal="center" vertical="center" wrapText="1"/>
    </xf>
    <xf numFmtId="0" fontId="79" fillId="33" borderId="58" xfId="10" applyFont="1" applyFill="1" applyBorder="1" applyAlignment="1">
      <alignment horizontal="center" vertical="center" wrapText="1"/>
    </xf>
    <xf numFmtId="0" fontId="63" fillId="0" borderId="0" xfId="10" applyFont="1" applyAlignment="1">
      <alignment horizontal="center" vertical="center" wrapText="1"/>
    </xf>
    <xf numFmtId="165" fontId="43" fillId="0" borderId="6" xfId="11" applyNumberFormat="1" applyFont="1" applyBorder="1"/>
    <xf numFmtId="166" fontId="101" fillId="0" borderId="6" xfId="12" applyNumberFormat="1" applyFont="1" applyBorder="1" applyAlignment="1">
      <alignment horizontal="center"/>
    </xf>
    <xf numFmtId="166" fontId="101" fillId="0" borderId="6" xfId="12" applyNumberFormat="1" applyFont="1" applyBorder="1"/>
    <xf numFmtId="0" fontId="101" fillId="0" borderId="6" xfId="10" applyFont="1" applyBorder="1" applyAlignment="1">
      <alignment horizontal="center"/>
    </xf>
    <xf numFmtId="167" fontId="99" fillId="0" borderId="6" xfId="10" quotePrefix="1" applyNumberFormat="1" applyFont="1" applyBorder="1" applyAlignment="1">
      <alignment horizontal="center"/>
    </xf>
    <xf numFmtId="165" fontId="43" fillId="0" borderId="6" xfId="10" applyNumberFormat="1" applyFont="1" applyBorder="1" applyAlignment="1"/>
    <xf numFmtId="43" fontId="43" fillId="0" borderId="6" xfId="10" applyNumberFormat="1" applyFont="1" applyBorder="1" applyAlignment="1"/>
    <xf numFmtId="4" fontId="101" fillId="8" borderId="6" xfId="10" applyNumberFormat="1" applyFont="1" applyFill="1" applyBorder="1" applyAlignment="1">
      <alignment horizontal="right" wrapText="1"/>
    </xf>
    <xf numFmtId="4" fontId="43" fillId="0" borderId="6" xfId="10" applyNumberFormat="1" applyFont="1" applyBorder="1" applyAlignment="1"/>
    <xf numFmtId="0" fontId="63" fillId="0" borderId="0" xfId="10" applyFont="1" applyAlignment="1">
      <alignment horizontal="center"/>
    </xf>
    <xf numFmtId="0" fontId="102" fillId="0" borderId="0" xfId="13" applyFont="1" applyAlignment="1">
      <alignment vertical="center"/>
    </xf>
    <xf numFmtId="0" fontId="103" fillId="0" borderId="0" xfId="13" applyFont="1" applyAlignment="1">
      <alignment vertical="center"/>
    </xf>
    <xf numFmtId="0" fontId="73" fillId="0" borderId="0" xfId="14" applyFont="1" applyAlignment="1">
      <alignment horizontal="center"/>
    </xf>
    <xf numFmtId="0" fontId="73" fillId="0" borderId="0" xfId="14" applyFont="1"/>
    <xf numFmtId="14" fontId="73" fillId="0" borderId="0" xfId="13" applyNumberFormat="1" applyFont="1" applyAlignment="1">
      <alignment horizontal="center"/>
    </xf>
    <xf numFmtId="0" fontId="73" fillId="0" borderId="0" xfId="8" applyFont="1" applyAlignment="1">
      <alignment horizontal="center"/>
    </xf>
    <xf numFmtId="14" fontId="73" fillId="0" borderId="0" xfId="8" applyNumberFormat="1" applyFont="1" applyAlignment="1">
      <alignment horizontal="center"/>
    </xf>
    <xf numFmtId="43" fontId="73" fillId="0" borderId="0" xfId="24" applyFont="1" applyAlignment="1">
      <alignment horizontal="center"/>
    </xf>
    <xf numFmtId="1" fontId="73" fillId="0" borderId="0" xfId="8" applyNumberFormat="1" applyFont="1" applyAlignment="1">
      <alignment horizontal="center"/>
    </xf>
    <xf numFmtId="0" fontId="73" fillId="0" borderId="0" xfId="8" applyFont="1"/>
    <xf numFmtId="0" fontId="103" fillId="0" borderId="0" xfId="13" applyFont="1" applyAlignment="1">
      <alignment horizontal="center"/>
    </xf>
    <xf numFmtId="0" fontId="104" fillId="32" borderId="56" xfId="9" applyFont="1" applyFill="1" applyBorder="1" applyAlignment="1">
      <alignment horizontal="center" vertical="center" wrapText="1"/>
    </xf>
    <xf numFmtId="0" fontId="104" fillId="32" borderId="57" xfId="9" applyFont="1" applyFill="1" applyBorder="1" applyAlignment="1">
      <alignment horizontal="center" vertical="center" wrapText="1"/>
    </xf>
    <xf numFmtId="14" fontId="104" fillId="32" borderId="57" xfId="9" applyNumberFormat="1" applyFont="1" applyFill="1" applyBorder="1" applyAlignment="1">
      <alignment horizontal="center" vertical="center" wrapText="1"/>
    </xf>
    <xf numFmtId="164" fontId="104" fillId="32" borderId="57" xfId="2" applyFont="1" applyFill="1" applyBorder="1" applyAlignment="1">
      <alignment horizontal="center" vertical="center" wrapText="1"/>
    </xf>
    <xf numFmtId="14" fontId="104" fillId="32" borderId="57" xfId="2" applyNumberFormat="1" applyFont="1" applyFill="1" applyBorder="1" applyAlignment="1">
      <alignment horizontal="center" vertical="center" wrapText="1"/>
    </xf>
    <xf numFmtId="180" fontId="104" fillId="32" borderId="57" xfId="2" applyNumberFormat="1" applyFont="1" applyFill="1" applyBorder="1" applyAlignment="1">
      <alignment horizontal="center" vertical="center" wrapText="1"/>
    </xf>
    <xf numFmtId="0" fontId="104" fillId="32" borderId="57" xfId="2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14" fontId="21" fillId="0" borderId="6" xfId="0" applyNumberFormat="1" applyFont="1" applyBorder="1" applyAlignment="1">
      <alignment horizontal="left"/>
    </xf>
    <xf numFmtId="43" fontId="21" fillId="0" borderId="6" xfId="24" applyFont="1" applyFill="1" applyBorder="1" applyAlignment="1">
      <alignment horizontal="left"/>
    </xf>
    <xf numFmtId="1" fontId="21" fillId="0" borderId="6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43" fontId="21" fillId="0" borderId="0" xfId="24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0" fontId="105" fillId="0" borderId="0" xfId="1" applyFont="1" applyAlignment="1"/>
    <xf numFmtId="43" fontId="48" fillId="0" borderId="0" xfId="7" applyFont="1"/>
    <xf numFmtId="4" fontId="105" fillId="0" borderId="0" xfId="1" applyNumberFormat="1" applyFont="1" applyAlignment="1"/>
    <xf numFmtId="0" fontId="105" fillId="2" borderId="0" xfId="1" applyFont="1" applyFill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14" fontId="48" fillId="0" borderId="79" xfId="24" applyNumberFormat="1" applyFont="1" applyFill="1" applyBorder="1" applyAlignment="1">
      <alignment horizontal="center"/>
    </xf>
    <xf numFmtId="43" fontId="48" fillId="0" borderId="79" xfId="24" applyFont="1" applyBorder="1"/>
    <xf numFmtId="43" fontId="48" fillId="0" borderId="111" xfId="0" applyNumberFormat="1" applyFont="1" applyBorder="1" applyAlignment="1">
      <alignment horizontal="left" indent="19"/>
    </xf>
    <xf numFmtId="43" fontId="48" fillId="0" borderId="0" xfId="0" applyNumberFormat="1" applyFont="1" applyAlignment="1">
      <alignment horizontal="left" wrapText="1"/>
    </xf>
    <xf numFmtId="14" fontId="48" fillId="0" borderId="0" xfId="24" applyNumberFormat="1" applyFont="1" applyFill="1" applyAlignment="1">
      <alignment horizontal="center"/>
    </xf>
    <xf numFmtId="43" fontId="48" fillId="0" borderId="0" xfId="24" applyFont="1"/>
    <xf numFmtId="0" fontId="108" fillId="0" borderId="0" xfId="8" applyFont="1" applyAlignment="1">
      <alignment vertical="top" wrapText="1"/>
    </xf>
    <xf numFmtId="0" fontId="88" fillId="36" borderId="79" xfId="0" applyFont="1" applyFill="1" applyBorder="1" applyAlignment="1">
      <alignment horizontal="center" vertical="center"/>
    </xf>
    <xf numFmtId="0" fontId="108" fillId="0" borderId="0" xfId="8" applyFont="1" applyAlignment="1">
      <alignment horizontal="left" vertical="top" wrapText="1"/>
    </xf>
    <xf numFmtId="49" fontId="48" fillId="0" borderId="79" xfId="50" applyNumberFormat="1" applyFont="1" applyBorder="1" applyAlignment="1">
      <alignment horizontal="center"/>
    </xf>
    <xf numFmtId="164" fontId="105" fillId="0" borderId="79" xfId="2" quotePrefix="1" applyFont="1" applyBorder="1"/>
    <xf numFmtId="49" fontId="107" fillId="0" borderId="81" xfId="50" applyNumberFormat="1" applyFont="1" applyBorder="1" applyAlignment="1">
      <alignment horizontal="center"/>
    </xf>
    <xf numFmtId="164" fontId="106" fillId="0" borderId="79" xfId="2" quotePrefix="1" applyFont="1" applyBorder="1"/>
    <xf numFmtId="0" fontId="48" fillId="0" borderId="0" xfId="0" applyFont="1"/>
    <xf numFmtId="0" fontId="84" fillId="37" borderId="82" xfId="0" applyFont="1" applyFill="1" applyBorder="1" applyAlignment="1">
      <alignment horizontal="center"/>
    </xf>
    <xf numFmtId="0" fontId="92" fillId="0" borderId="0" xfId="0" applyFont="1" applyAlignment="1">
      <alignment horizontal="left" wrapText="1"/>
    </xf>
    <xf numFmtId="0" fontId="48" fillId="0" borderId="82" xfId="0" applyFont="1" applyBorder="1" applyAlignment="1">
      <alignment horizontal="left"/>
    </xf>
    <xf numFmtId="0" fontId="48" fillId="0" borderId="82" xfId="0" applyFont="1" applyBorder="1" applyAlignment="1">
      <alignment horizontal="center"/>
    </xf>
    <xf numFmtId="43" fontId="48" fillId="0" borderId="82" xfId="0" applyNumberFormat="1" applyFont="1" applyBorder="1"/>
    <xf numFmtId="9" fontId="48" fillId="0" borderId="82" xfId="0" applyNumberFormat="1" applyFont="1" applyBorder="1" applyAlignment="1">
      <alignment horizontal="center"/>
    </xf>
    <xf numFmtId="0" fontId="84" fillId="37" borderId="82" xfId="0" applyFont="1" applyFill="1" applyBorder="1" applyAlignment="1">
      <alignment horizontal="left"/>
    </xf>
    <xf numFmtId="43" fontId="84" fillId="37" borderId="82" xfId="0" applyNumberFormat="1" applyFont="1" applyFill="1" applyBorder="1"/>
    <xf numFmtId="9" fontId="84" fillId="37" borderId="82" xfId="0" applyNumberFormat="1" applyFont="1" applyFill="1" applyBorder="1" applyAlignment="1">
      <alignment horizontal="center"/>
    </xf>
    <xf numFmtId="0" fontId="107" fillId="0" borderId="82" xfId="0" applyFont="1" applyBorder="1" applyAlignment="1">
      <alignment horizontal="left"/>
    </xf>
    <xf numFmtId="0" fontId="107" fillId="0" borderId="82" xfId="0" applyFont="1" applyBorder="1" applyAlignment="1">
      <alignment horizontal="center"/>
    </xf>
    <xf numFmtId="43" fontId="107" fillId="0" borderId="82" xfId="0" applyNumberFormat="1" applyFont="1" applyBorder="1"/>
    <xf numFmtId="9" fontId="107" fillId="0" borderId="82" xfId="0" applyNumberFormat="1" applyFont="1" applyBorder="1" applyAlignment="1">
      <alignment horizontal="center"/>
    </xf>
    <xf numFmtId="0" fontId="109" fillId="0" borderId="82" xfId="0" applyFont="1" applyBorder="1" applyAlignment="1">
      <alignment horizontal="left" indent="2"/>
    </xf>
    <xf numFmtId="0" fontId="109" fillId="0" borderId="82" xfId="0" applyFont="1" applyBorder="1" applyAlignment="1">
      <alignment horizontal="center"/>
    </xf>
    <xf numFmtId="43" fontId="109" fillId="0" borderId="82" xfId="0" applyNumberFormat="1" applyFont="1" applyBorder="1" applyAlignment="1">
      <alignment horizontal="left" indent="19"/>
    </xf>
    <xf numFmtId="0" fontId="105" fillId="0" borderId="79" xfId="0" applyFont="1" applyBorder="1" applyAlignment="1">
      <alignment horizontal="left" vertical="center"/>
    </xf>
    <xf numFmtId="0" fontId="84" fillId="33" borderId="76" xfId="0" applyFont="1" applyFill="1" applyBorder="1" applyAlignment="1">
      <alignment horizontal="center" vertical="center" wrapText="1"/>
    </xf>
    <xf numFmtId="0" fontId="84" fillId="33" borderId="77" xfId="0" applyFont="1" applyFill="1" applyBorder="1" applyAlignment="1">
      <alignment horizontal="center" vertical="center" wrapText="1"/>
    </xf>
    <xf numFmtId="0" fontId="84" fillId="33" borderId="78" xfId="0" applyFont="1" applyFill="1" applyBorder="1" applyAlignment="1">
      <alignment horizontal="center" vertical="center" wrapText="1"/>
    </xf>
    <xf numFmtId="49" fontId="105" fillId="0" borderId="79" xfId="0" applyNumberFormat="1" applyFont="1" applyBorder="1" applyAlignment="1">
      <alignment horizontal="left" vertical="center" wrapText="1"/>
    </xf>
    <xf numFmtId="0" fontId="105" fillId="0" borderId="79" xfId="0" applyFont="1" applyBorder="1" applyAlignment="1">
      <alignment horizontal="center" vertical="center" wrapText="1"/>
    </xf>
    <xf numFmtId="164" fontId="105" fillId="0" borderId="79" xfId="2" applyFont="1" applyBorder="1" applyAlignment="1">
      <alignment horizontal="left" vertical="center" wrapText="1"/>
    </xf>
    <xf numFmtId="164" fontId="105" fillId="0" borderId="79" xfId="2" applyFont="1" applyBorder="1"/>
    <xf numFmtId="0" fontId="106" fillId="0" borderId="79" xfId="0" applyFont="1" applyBorder="1" applyAlignment="1">
      <alignment horizontal="center" vertical="center" wrapText="1"/>
    </xf>
    <xf numFmtId="164" fontId="106" fillId="0" borderId="79" xfId="0" applyNumberFormat="1" applyFont="1" applyBorder="1" applyAlignment="1">
      <alignment horizontal="left" vertical="center" wrapText="1"/>
    </xf>
    <xf numFmtId="0" fontId="106" fillId="0" borderId="0" xfId="0" applyFont="1" applyAlignment="1">
      <alignment horizontal="center" vertical="center" wrapText="1"/>
    </xf>
    <xf numFmtId="164" fontId="106" fillId="0" borderId="0" xfId="0" applyNumberFormat="1" applyFont="1" applyAlignment="1">
      <alignment horizontal="left" vertical="center" wrapText="1"/>
    </xf>
    <xf numFmtId="0" fontId="84" fillId="33" borderId="77" xfId="0" applyFont="1" applyFill="1" applyBorder="1" applyAlignment="1">
      <alignment horizontal="center" vertical="center"/>
    </xf>
    <xf numFmtId="164" fontId="105" fillId="0" borderId="79" xfId="2" applyFont="1" applyFill="1" applyBorder="1" applyAlignment="1">
      <alignment horizontal="center" vertical="center"/>
    </xf>
    <xf numFmtId="164" fontId="105" fillId="0" borderId="79" xfId="2" applyFont="1" applyFill="1" applyBorder="1" applyAlignment="1">
      <alignment horizontal="center" vertical="center" wrapText="1"/>
    </xf>
    <xf numFmtId="0" fontId="108" fillId="0" borderId="0" xfId="8" applyFont="1" applyAlignment="1">
      <alignment horizontal="left" vertical="justify" wrapText="1"/>
    </xf>
    <xf numFmtId="164" fontId="106" fillId="0" borderId="79" xfId="2" applyFont="1" applyBorder="1" applyAlignment="1">
      <alignment horizontal="left" vertical="center" wrapText="1"/>
    </xf>
    <xf numFmtId="164" fontId="106" fillId="0" borderId="0" xfId="2" applyFont="1" applyBorder="1" applyAlignment="1">
      <alignment horizontal="left" vertical="center" wrapText="1"/>
    </xf>
    <xf numFmtId="0" fontId="105" fillId="0" borderId="79" xfId="0" applyFont="1" applyBorder="1" applyAlignment="1">
      <alignment horizontal="center" vertical="center"/>
    </xf>
    <xf numFmtId="43" fontId="105" fillId="0" borderId="0" xfId="24" applyFont="1"/>
    <xf numFmtId="0" fontId="105" fillId="0" borderId="0" xfId="0" applyFont="1"/>
    <xf numFmtId="0" fontId="105" fillId="0" borderId="0" xfId="0" applyFont="1" applyAlignment="1">
      <alignment horizontal="center"/>
    </xf>
    <xf numFmtId="178" fontId="108" fillId="0" borderId="5" xfId="63" applyNumberFormat="1" applyFont="1" applyBorder="1" applyAlignment="1">
      <alignment horizontal="right"/>
    </xf>
    <xf numFmtId="164" fontId="108" fillId="0" borderId="5" xfId="64" applyFont="1" applyBorder="1" applyAlignment="1">
      <alignment horizontal="right"/>
    </xf>
    <xf numFmtId="43" fontId="105" fillId="0" borderId="0" xfId="24" applyFont="1" applyAlignment="1"/>
    <xf numFmtId="0" fontId="110" fillId="0" borderId="0" xfId="1" applyFont="1" applyAlignment="1"/>
    <xf numFmtId="43" fontId="85" fillId="0" borderId="79" xfId="24" applyFont="1" applyBorder="1" applyAlignment="1">
      <alignment horizontal="left" vertical="center" wrapText="1"/>
    </xf>
    <xf numFmtId="43" fontId="105" fillId="0" borderId="79" xfId="24" applyFont="1" applyBorder="1" applyAlignment="1">
      <alignment horizontal="left" vertical="center" wrapText="1"/>
    </xf>
    <xf numFmtId="9" fontId="105" fillId="0" borderId="79" xfId="68" applyFont="1" applyBorder="1" applyAlignment="1">
      <alignment horizontal="center" vertical="center" wrapText="1"/>
    </xf>
    <xf numFmtId="43" fontId="86" fillId="12" borderId="47" xfId="24" applyFont="1" applyFill="1" applyBorder="1"/>
    <xf numFmtId="14" fontId="48" fillId="0" borderId="0" xfId="24" applyNumberFormat="1" applyFont="1" applyFill="1" applyAlignment="1">
      <alignment horizontal="left" vertical="center" wrapText="1"/>
    </xf>
    <xf numFmtId="0" fontId="48" fillId="0" borderId="82" xfId="0" applyFont="1" applyBorder="1" applyAlignment="1">
      <alignment horizontal="left" wrapText="1"/>
    </xf>
    <xf numFmtId="189" fontId="24" fillId="0" borderId="14" xfId="24" applyNumberFormat="1" applyFont="1" applyBorder="1" applyAlignment="1">
      <alignment vertical="top" wrapText="1" readingOrder="1"/>
    </xf>
    <xf numFmtId="0" fontId="105" fillId="0" borderId="79" xfId="2" applyNumberFormat="1" applyFont="1" applyBorder="1" applyAlignment="1">
      <alignment horizontal="center"/>
    </xf>
    <xf numFmtId="43" fontId="24" fillId="2" borderId="14" xfId="58" applyNumberFormat="1" applyFont="1" applyFill="1" applyBorder="1" applyAlignment="1">
      <alignment horizontal="center" vertical="top" wrapText="1" readingOrder="1"/>
    </xf>
    <xf numFmtId="0" fontId="24" fillId="2" borderId="14" xfId="58" applyFont="1" applyFill="1" applyBorder="1" applyAlignment="1">
      <alignment horizontal="right" vertical="top" wrapText="1" readingOrder="1"/>
    </xf>
    <xf numFmtId="181" fontId="74" fillId="12" borderId="0" xfId="0" applyNumberFormat="1" applyFont="1" applyFill="1"/>
    <xf numFmtId="0" fontId="74" fillId="12" borderId="0" xfId="0" applyFont="1" applyFill="1"/>
    <xf numFmtId="0" fontId="114" fillId="0" borderId="0" xfId="69" applyFont="1"/>
    <xf numFmtId="164" fontId="108" fillId="0" borderId="0" xfId="8" applyNumberFormat="1" applyFont="1" applyAlignment="1">
      <alignment horizontal="left" vertical="justify" wrapText="1"/>
    </xf>
    <xf numFmtId="43" fontId="108" fillId="0" borderId="0" xfId="8" applyNumberFormat="1" applyFont="1" applyAlignment="1">
      <alignment horizontal="left" vertical="justify" wrapText="1"/>
    </xf>
    <xf numFmtId="0" fontId="48" fillId="0" borderId="79" xfId="24" applyNumberFormat="1" applyFont="1" applyFill="1" applyBorder="1" applyAlignment="1">
      <alignment horizontal="center"/>
    </xf>
    <xf numFmtId="0" fontId="108" fillId="0" borderId="0" xfId="8" applyFont="1" applyAlignment="1">
      <alignment vertical="justify" wrapText="1"/>
    </xf>
    <xf numFmtId="43" fontId="0" fillId="0" borderId="0" xfId="24" applyFont="1" applyBorder="1"/>
    <xf numFmtId="43" fontId="21" fillId="0" borderId="6" xfId="24" applyFont="1" applyBorder="1" applyAlignment="1">
      <alignment horizontal="center"/>
    </xf>
    <xf numFmtId="43" fontId="73" fillId="12" borderId="75" xfId="24" applyFont="1" applyFill="1" applyBorder="1"/>
    <xf numFmtId="43" fontId="0" fillId="0" borderId="0" xfId="24" applyFont="1" applyAlignment="1">
      <alignment horizontal="center"/>
    </xf>
    <xf numFmtId="43" fontId="105" fillId="0" borderId="0" xfId="1" applyNumberFormat="1" applyFont="1" applyAlignment="1"/>
    <xf numFmtId="178" fontId="105" fillId="0" borderId="0" xfId="1" applyNumberFormat="1" applyFont="1" applyAlignment="1"/>
    <xf numFmtId="44" fontId="0" fillId="0" borderId="0" xfId="0" applyNumberFormat="1"/>
    <xf numFmtId="181" fontId="73" fillId="12" borderId="0" xfId="62" applyNumberFormat="1" applyFont="1" applyFill="1"/>
    <xf numFmtId="0" fontId="88" fillId="36" borderId="100" xfId="0" applyFont="1" applyFill="1" applyBorder="1" applyAlignment="1">
      <alignment horizontal="center" vertical="center"/>
    </xf>
    <xf numFmtId="43" fontId="21" fillId="0" borderId="0" xfId="0" applyNumberFormat="1" applyFont="1"/>
    <xf numFmtId="1" fontId="57" fillId="0" borderId="97" xfId="0" applyNumberFormat="1" applyFont="1" applyBorder="1"/>
    <xf numFmtId="0" fontId="117" fillId="0" borderId="97" xfId="0" applyFont="1" applyBorder="1" applyAlignment="1">
      <alignment horizontal="center"/>
    </xf>
    <xf numFmtId="0" fontId="118" fillId="0" borderId="97" xfId="0" applyFont="1" applyBorder="1" applyAlignment="1">
      <alignment horizontal="center" wrapText="1"/>
    </xf>
    <xf numFmtId="14" fontId="118" fillId="0" borderId="97" xfId="0" applyNumberFormat="1" applyFont="1" applyBorder="1" applyAlignment="1">
      <alignment horizontal="center" wrapText="1"/>
    </xf>
    <xf numFmtId="14" fontId="57" fillId="0" borderId="97" xfId="0" applyNumberFormat="1" applyFont="1" applyBorder="1"/>
    <xf numFmtId="4" fontId="117" fillId="0" borderId="97" xfId="0" applyNumberFormat="1" applyFont="1" applyBorder="1" applyAlignment="1">
      <alignment horizontal="center"/>
    </xf>
    <xf numFmtId="10" fontId="86" fillId="12" borderId="47" xfId="70" applyNumberFormat="1" applyFont="1" applyFill="1" applyBorder="1" applyAlignment="1">
      <alignment horizontal="center"/>
    </xf>
    <xf numFmtId="43" fontId="105" fillId="2" borderId="0" xfId="24" applyFont="1" applyFill="1" applyAlignment="1">
      <alignment wrapText="1"/>
    </xf>
    <xf numFmtId="0" fontId="57" fillId="2" borderId="0" xfId="58" applyFont="1" applyFill="1"/>
    <xf numFmtId="43" fontId="1" fillId="0" borderId="6" xfId="24" applyFont="1" applyBorder="1"/>
    <xf numFmtId="170" fontId="1" fillId="2" borderId="0" xfId="58" applyNumberFormat="1" applyFill="1"/>
    <xf numFmtId="14" fontId="48" fillId="0" borderId="0" xfId="24" applyNumberFormat="1" applyFont="1" applyFill="1" applyAlignment="1">
      <alignment horizontal="left"/>
    </xf>
    <xf numFmtId="0" fontId="0" fillId="0" borderId="0" xfId="0" pivotButton="1"/>
    <xf numFmtId="43" fontId="119" fillId="0" borderId="0" xfId="24" applyFont="1" applyAlignment="1">
      <alignment horizontal="left" vertical="top" wrapText="1"/>
    </xf>
    <xf numFmtId="43" fontId="105" fillId="2" borderId="0" xfId="1" applyNumberFormat="1" applyFont="1" applyFill="1" applyAlignment="1">
      <alignment wrapText="1"/>
    </xf>
    <xf numFmtId="14" fontId="48" fillId="0" borderId="55" xfId="48" applyNumberFormat="1" applyFont="1" applyBorder="1" applyAlignment="1">
      <alignment horizontal="left"/>
    </xf>
    <xf numFmtId="43" fontId="85" fillId="12" borderId="0" xfId="0" applyNumberFormat="1" applyFont="1" applyFill="1"/>
    <xf numFmtId="0" fontId="85" fillId="12" borderId="0" xfId="0" applyFont="1" applyFill="1"/>
    <xf numFmtId="43" fontId="86" fillId="0" borderId="0" xfId="69" applyNumberFormat="1" applyFont="1"/>
    <xf numFmtId="43" fontId="114" fillId="0" borderId="0" xfId="69" applyNumberFormat="1" applyFont="1"/>
    <xf numFmtId="43" fontId="86" fillId="0" borderId="0" xfId="24" applyFont="1"/>
    <xf numFmtId="164" fontId="108" fillId="0" borderId="5" xfId="63" applyNumberFormat="1" applyFont="1" applyBorder="1" applyAlignment="1">
      <alignment horizontal="right"/>
    </xf>
    <xf numFmtId="43" fontId="55" fillId="2" borderId="0" xfId="24" applyFont="1" applyFill="1"/>
    <xf numFmtId="0" fontId="0" fillId="0" borderId="0" xfId="0" applyAlignment="1">
      <alignment horizontal="left"/>
    </xf>
    <xf numFmtId="43" fontId="48" fillId="0" borderId="0" xfId="24" applyFont="1" applyAlignment="1">
      <alignment horizontal="left" wrapText="1"/>
    </xf>
    <xf numFmtId="0" fontId="115" fillId="12" borderId="0" xfId="51" applyFont="1" applyFill="1" applyAlignment="1">
      <alignment horizontal="left"/>
    </xf>
    <xf numFmtId="49" fontId="123" fillId="40" borderId="41" xfId="51" applyNumberFormat="1" applyFont="1" applyFill="1" applyBorder="1" applyAlignment="1">
      <alignment horizontal="center" vertical="center" wrapText="1"/>
    </xf>
    <xf numFmtId="0" fontId="123" fillId="40" borderId="41" xfId="51" applyFont="1" applyFill="1" applyBorder="1" applyAlignment="1">
      <alignment horizontal="center" vertical="center" wrapText="1"/>
    </xf>
    <xf numFmtId="0" fontId="77" fillId="41" borderId="7" xfId="51" applyFont="1" applyFill="1" applyBorder="1" applyAlignment="1">
      <alignment horizontal="left" wrapText="1"/>
    </xf>
    <xf numFmtId="49" fontId="77" fillId="41" borderId="7" xfId="51" applyNumberFormat="1" applyFont="1" applyFill="1" applyBorder="1" applyAlignment="1">
      <alignment horizontal="center" wrapText="1"/>
    </xf>
    <xf numFmtId="190" fontId="77" fillId="41" borderId="7" xfId="51" applyNumberFormat="1" applyFont="1" applyFill="1" applyBorder="1" applyAlignment="1">
      <alignment horizontal="center" wrapText="1"/>
    </xf>
    <xf numFmtId="49" fontId="77" fillId="41" borderId="7" xfId="51" applyNumberFormat="1" applyFont="1" applyFill="1" applyBorder="1" applyAlignment="1">
      <alignment horizontal="left" wrapText="1"/>
    </xf>
    <xf numFmtId="0" fontId="77" fillId="41" borderId="7" xfId="51" applyFont="1" applyFill="1" applyBorder="1" applyAlignment="1">
      <alignment horizontal="center" wrapText="1"/>
    </xf>
    <xf numFmtId="4" fontId="77" fillId="41" borderId="7" xfId="51" applyNumberFormat="1" applyFont="1" applyFill="1" applyBorder="1" applyAlignment="1">
      <alignment horizontal="right" wrapText="1"/>
    </xf>
    <xf numFmtId="1" fontId="77" fillId="41" borderId="7" xfId="51" applyNumberFormat="1" applyFont="1" applyFill="1" applyBorder="1" applyAlignment="1">
      <alignment horizontal="right" wrapText="1"/>
    </xf>
    <xf numFmtId="0" fontId="77" fillId="41" borderId="7" xfId="51" applyFont="1" applyFill="1" applyBorder="1" applyAlignment="1">
      <alignment horizontal="right" wrapText="1"/>
    </xf>
    <xf numFmtId="190" fontId="77" fillId="41" borderId="7" xfId="51" applyNumberFormat="1" applyFont="1" applyFill="1" applyBorder="1" applyAlignment="1">
      <alignment horizontal="right" wrapText="1"/>
    </xf>
    <xf numFmtId="0" fontId="77" fillId="12" borderId="7" xfId="51" applyFont="1" applyFill="1" applyBorder="1" applyAlignment="1">
      <alignment horizontal="left" wrapText="1"/>
    </xf>
    <xf numFmtId="49" fontId="77" fillId="12" borderId="7" xfId="51" applyNumberFormat="1" applyFont="1" applyFill="1" applyBorder="1" applyAlignment="1">
      <alignment horizontal="center" wrapText="1"/>
    </xf>
    <xf numFmtId="190" fontId="77" fillId="12" borderId="7" xfId="51" applyNumberFormat="1" applyFont="1" applyFill="1" applyBorder="1" applyAlignment="1">
      <alignment horizontal="center" wrapText="1"/>
    </xf>
    <xf numFmtId="49" fontId="77" fillId="12" borderId="7" xfId="51" applyNumberFormat="1" applyFont="1" applyFill="1" applyBorder="1" applyAlignment="1">
      <alignment horizontal="left" wrapText="1"/>
    </xf>
    <xf numFmtId="0" fontId="77" fillId="12" borderId="7" xfId="51" applyFont="1" applyFill="1" applyBorder="1" applyAlignment="1">
      <alignment horizontal="center" wrapText="1"/>
    </xf>
    <xf numFmtId="4" fontId="77" fillId="12" borderId="7" xfId="51" applyNumberFormat="1" applyFont="1" applyFill="1" applyBorder="1" applyAlignment="1">
      <alignment horizontal="right" wrapText="1"/>
    </xf>
    <xf numFmtId="1" fontId="77" fillId="12" borderId="7" xfId="51" applyNumberFormat="1" applyFont="1" applyFill="1" applyBorder="1" applyAlignment="1">
      <alignment horizontal="right" wrapText="1"/>
    </xf>
    <xf numFmtId="0" fontId="77" fillId="12" borderId="7" xfId="51" applyFont="1" applyFill="1" applyBorder="1" applyAlignment="1">
      <alignment horizontal="right" wrapText="1"/>
    </xf>
    <xf numFmtId="190" fontId="77" fillId="12" borderId="7" xfId="51" applyNumberFormat="1" applyFont="1" applyFill="1" applyBorder="1" applyAlignment="1">
      <alignment horizontal="right" wrapText="1"/>
    </xf>
    <xf numFmtId="49" fontId="123" fillId="40" borderId="7" xfId="51" applyNumberFormat="1" applyFont="1" applyFill="1" applyBorder="1" applyAlignment="1">
      <alignment horizontal="center" vertical="center" wrapText="1"/>
    </xf>
    <xf numFmtId="0" fontId="123" fillId="40" borderId="7" xfId="51" applyFont="1" applyFill="1" applyBorder="1" applyAlignment="1">
      <alignment horizontal="center" vertical="center" wrapText="1"/>
    </xf>
    <xf numFmtId="49" fontId="69" fillId="12" borderId="7" xfId="51" applyNumberFormat="1" applyFont="1" applyFill="1" applyBorder="1" applyAlignment="1">
      <alignment horizontal="left" vertical="center"/>
    </xf>
    <xf numFmtId="0" fontId="69" fillId="12" borderId="7" xfId="51" applyFont="1" applyFill="1" applyBorder="1" applyAlignment="1">
      <alignment horizontal="left" vertical="center"/>
    </xf>
    <xf numFmtId="0" fontId="69" fillId="12" borderId="7" xfId="51" applyFont="1" applyFill="1" applyBorder="1" applyAlignment="1">
      <alignment horizontal="right" vertical="center"/>
    </xf>
    <xf numFmtId="4" fontId="69" fillId="12" borderId="7" xfId="51" applyNumberFormat="1" applyFont="1" applyFill="1" applyBorder="1" applyAlignment="1">
      <alignment horizontal="right" vertical="center"/>
    </xf>
    <xf numFmtId="4" fontId="116" fillId="12" borderId="7" xfId="51" applyNumberFormat="1" applyFont="1" applyFill="1" applyBorder="1" applyAlignment="1">
      <alignment horizontal="right" vertical="center"/>
    </xf>
    <xf numFmtId="49" fontId="69" fillId="12" borderId="7" xfId="51" applyNumberFormat="1" applyFont="1" applyFill="1" applyBorder="1" applyAlignment="1">
      <alignment horizontal="right" vertical="center"/>
    </xf>
    <xf numFmtId="0" fontId="69" fillId="12" borderId="0" xfId="51" applyFont="1" applyFill="1" applyAlignment="1">
      <alignment horizontal="left"/>
    </xf>
    <xf numFmtId="49" fontId="77" fillId="12" borderId="7" xfId="51" applyNumberFormat="1" applyFont="1" applyFill="1" applyBorder="1" applyAlignment="1">
      <alignment horizontal="left" vertical="center"/>
    </xf>
    <xf numFmtId="0" fontId="33" fillId="12" borderId="7" xfId="51" applyFont="1" applyFill="1" applyBorder="1" applyAlignment="1">
      <alignment horizontal="left" vertical="center"/>
    </xf>
    <xf numFmtId="0" fontId="77" fillId="12" borderId="7" xfId="51" applyFont="1" applyFill="1" applyBorder="1" applyAlignment="1">
      <alignment horizontal="right" vertical="center"/>
    </xf>
    <xf numFmtId="0" fontId="33" fillId="12" borderId="7" xfId="51" applyFont="1" applyFill="1" applyBorder="1" applyAlignment="1">
      <alignment horizontal="right" vertical="center"/>
    </xf>
    <xf numFmtId="1" fontId="77" fillId="12" borderId="7" xfId="51" applyNumberFormat="1" applyFont="1" applyFill="1" applyBorder="1" applyAlignment="1">
      <alignment horizontal="right" vertical="center"/>
    </xf>
    <xf numFmtId="4" fontId="77" fillId="12" borderId="7" xfId="51" applyNumberFormat="1" applyFont="1" applyFill="1" applyBorder="1" applyAlignment="1">
      <alignment horizontal="right" vertical="center"/>
    </xf>
    <xf numFmtId="0" fontId="24" fillId="0" borderId="0" xfId="51"/>
    <xf numFmtId="49" fontId="123" fillId="42" borderId="41" xfId="51" applyNumberFormat="1" applyFont="1" applyFill="1" applyBorder="1" applyAlignment="1">
      <alignment horizontal="center" vertical="center" wrapText="1"/>
    </xf>
    <xf numFmtId="14" fontId="48" fillId="0" borderId="0" xfId="24" applyNumberFormat="1" applyFont="1" applyFill="1" applyAlignment="1">
      <alignment horizontal="left" wrapText="1"/>
    </xf>
    <xf numFmtId="43" fontId="26" fillId="0" borderId="0" xfId="24" applyFont="1" applyFill="1" applyAlignment="1">
      <alignment horizontal="center"/>
    </xf>
    <xf numFmtId="43" fontId="125" fillId="0" borderId="0" xfId="24" applyFont="1"/>
    <xf numFmtId="170" fontId="53" fillId="0" borderId="0" xfId="50" applyNumberFormat="1" applyFont="1" applyAlignment="1">
      <alignment vertical="top" wrapText="1" readingOrder="1"/>
    </xf>
    <xf numFmtId="0" fontId="125" fillId="0" borderId="0" xfId="0" applyFont="1"/>
    <xf numFmtId="43" fontId="24" fillId="0" borderId="0" xfId="51" applyNumberFormat="1"/>
    <xf numFmtId="0" fontId="24" fillId="0" borderId="0" xfId="51" applyAlignment="1">
      <alignment horizontal="right"/>
    </xf>
    <xf numFmtId="165" fontId="0" fillId="0" borderId="0" xfId="24" applyNumberFormat="1" applyFont="1"/>
    <xf numFmtId="49" fontId="126" fillId="3" borderId="0" xfId="82" applyNumberFormat="1" applyFont="1" applyFill="1" applyAlignment="1">
      <alignment horizontal="center" vertical="distributed" wrapText="1"/>
    </xf>
    <xf numFmtId="0" fontId="126" fillId="3" borderId="0" xfId="82" applyFont="1" applyFill="1" applyAlignment="1">
      <alignment horizontal="center" vertical="distributed" wrapText="1"/>
    </xf>
    <xf numFmtId="14" fontId="126" fillId="3" borderId="0" xfId="82" applyNumberFormat="1" applyFont="1" applyFill="1" applyAlignment="1">
      <alignment horizontal="center" vertical="distributed" wrapText="1"/>
    </xf>
    <xf numFmtId="49" fontId="105" fillId="0" borderId="0" xfId="0" applyNumberFormat="1" applyFont="1" applyAlignment="1">
      <alignment horizontal="left"/>
    </xf>
    <xf numFmtId="0" fontId="105" fillId="0" borderId="0" xfId="0" applyFont="1" applyAlignment="1">
      <alignment horizontal="left"/>
    </xf>
    <xf numFmtId="17" fontId="105" fillId="0" borderId="0" xfId="0" applyNumberFormat="1" applyFont="1" applyAlignment="1">
      <alignment horizontal="center"/>
    </xf>
    <xf numFmtId="0" fontId="108" fillId="0" borderId="0" xfId="31" applyFont="1" applyAlignment="1"/>
    <xf numFmtId="14" fontId="48" fillId="0" borderId="0" xfId="0" applyNumberFormat="1" applyFont="1" applyAlignment="1">
      <alignment horizontal="center"/>
    </xf>
    <xf numFmtId="43" fontId="105" fillId="0" borderId="0" xfId="24" applyFont="1" applyFill="1"/>
    <xf numFmtId="191" fontId="105" fillId="0" borderId="0" xfId="24" applyNumberFormat="1" applyFont="1" applyFill="1"/>
    <xf numFmtId="14" fontId="105" fillId="0" borderId="0" xfId="0" applyNumberFormat="1" applyFont="1" applyAlignment="1">
      <alignment horizontal="center"/>
    </xf>
    <xf numFmtId="1" fontId="105" fillId="0" borderId="0" xfId="0" applyNumberFormat="1" applyFont="1" applyAlignment="1">
      <alignment horizontal="left"/>
    </xf>
    <xf numFmtId="43" fontId="1" fillId="0" borderId="0" xfId="83" applyNumberFormat="1">
      <alignment vertical="center"/>
    </xf>
    <xf numFmtId="43" fontId="29" fillId="0" borderId="0" xfId="0" applyNumberFormat="1" applyFont="1" applyAlignment="1">
      <alignment horizontal="center"/>
    </xf>
    <xf numFmtId="4" fontId="119" fillId="0" borderId="0" xfId="0" applyNumberFormat="1" applyFont="1"/>
    <xf numFmtId="175" fontId="18" fillId="2" borderId="0" xfId="65" applyNumberFormat="1" applyFont="1" applyFill="1" applyAlignment="1">
      <alignment vertical="center" wrapText="1" readingOrder="1"/>
    </xf>
    <xf numFmtId="43" fontId="29" fillId="7" borderId="0" xfId="46" applyFont="1" applyFill="1" applyAlignment="1">
      <alignment vertical="center"/>
    </xf>
    <xf numFmtId="43" fontId="127" fillId="10" borderId="0" xfId="66" applyNumberFormat="1" applyFont="1" applyFill="1" applyAlignment="1">
      <alignment vertical="center"/>
    </xf>
    <xf numFmtId="43" fontId="18" fillId="7" borderId="0" xfId="46" applyFont="1" applyFill="1" applyAlignment="1">
      <alignment vertical="center"/>
    </xf>
    <xf numFmtId="43" fontId="29" fillId="2" borderId="0" xfId="75" applyFont="1" applyFill="1" applyAlignment="1">
      <alignment vertical="center" wrapText="1" readingOrder="1"/>
    </xf>
    <xf numFmtId="43" fontId="18" fillId="2" borderId="0" xfId="75" applyFont="1" applyFill="1" applyAlignment="1">
      <alignment vertical="center" wrapText="1" readingOrder="1"/>
    </xf>
    <xf numFmtId="0" fontId="75" fillId="0" borderId="0" xfId="0" applyFont="1"/>
    <xf numFmtId="43" fontId="13" fillId="2" borderId="0" xfId="24" applyFont="1" applyFill="1" applyAlignment="1">
      <alignment vertical="center" readingOrder="1"/>
    </xf>
    <xf numFmtId="43" fontId="128" fillId="2" borderId="0" xfId="24" applyFont="1" applyFill="1"/>
    <xf numFmtId="43" fontId="24" fillId="0" borderId="0" xfId="24" applyFont="1"/>
    <xf numFmtId="43" fontId="24" fillId="30" borderId="18" xfId="24" applyFont="1" applyFill="1" applyBorder="1" applyAlignment="1">
      <alignment horizontal="left" vertical="top" wrapText="1" readingOrder="1"/>
    </xf>
    <xf numFmtId="43" fontId="24" fillId="30" borderId="19" xfId="24" applyFont="1" applyFill="1" applyBorder="1" applyAlignment="1">
      <alignment horizontal="left" vertical="top" wrapText="1" readingOrder="1"/>
    </xf>
    <xf numFmtId="0" fontId="62" fillId="2" borderId="0" xfId="58" applyFont="1" applyFill="1" applyAlignment="1">
      <alignment horizontal="center" vertical="center" readingOrder="1"/>
    </xf>
    <xf numFmtId="0" fontId="24" fillId="30" borderId="18" xfId="58" applyFont="1" applyFill="1" applyBorder="1" applyAlignment="1">
      <alignment horizontal="left" vertical="top" wrapText="1" readingOrder="1"/>
    </xf>
    <xf numFmtId="0" fontId="24" fillId="30" borderId="19" xfId="58" applyFont="1" applyFill="1" applyBorder="1" applyAlignment="1">
      <alignment horizontal="left" vertical="top" wrapText="1" readingOrder="1"/>
    </xf>
    <xf numFmtId="0" fontId="64" fillId="31" borderId="0" xfId="58" applyFont="1" applyFill="1" applyAlignment="1">
      <alignment horizontal="center"/>
    </xf>
    <xf numFmtId="0" fontId="2" fillId="30" borderId="6" xfId="58" applyFont="1" applyFill="1" applyBorder="1" applyAlignment="1">
      <alignment horizontal="center" vertical="center"/>
    </xf>
    <xf numFmtId="43" fontId="64" fillId="31" borderId="17" xfId="24" applyFont="1" applyFill="1" applyBorder="1" applyAlignment="1">
      <alignment horizontal="center"/>
    </xf>
    <xf numFmtId="0" fontId="64" fillId="31" borderId="17" xfId="58" applyFont="1" applyFill="1" applyBorder="1" applyAlignment="1">
      <alignment horizontal="center"/>
    </xf>
    <xf numFmtId="0" fontId="30" fillId="2" borderId="26" xfId="58" applyFont="1" applyFill="1" applyBorder="1" applyAlignment="1">
      <alignment horizontal="center"/>
    </xf>
    <xf numFmtId="43" fontId="24" fillId="30" borderId="18" xfId="24" applyFont="1" applyFill="1" applyBorder="1" applyAlignment="1">
      <alignment vertical="top" wrapText="1" readingOrder="1"/>
    </xf>
    <xf numFmtId="43" fontId="24" fillId="30" borderId="19" xfId="24" applyFont="1" applyFill="1" applyBorder="1" applyAlignment="1">
      <alignment vertical="top" wrapText="1" readingOrder="1"/>
    </xf>
    <xf numFmtId="0" fontId="62" fillId="30" borderId="18" xfId="58" applyFont="1" applyFill="1" applyBorder="1" applyAlignment="1">
      <alignment horizontal="left" vertical="top" wrapText="1" readingOrder="1"/>
    </xf>
    <xf numFmtId="0" fontId="62" fillId="30" borderId="19" xfId="58" applyFont="1" applyFill="1" applyBorder="1" applyAlignment="1">
      <alignment horizontal="left" vertical="top" wrapText="1" readingOrder="1"/>
    </xf>
    <xf numFmtId="0" fontId="30" fillId="2" borderId="0" xfId="58" applyFont="1" applyFill="1" applyAlignment="1">
      <alignment horizontal="center"/>
    </xf>
    <xf numFmtId="0" fontId="18" fillId="19" borderId="5" xfId="8" applyFont="1" applyFill="1" applyBorder="1" applyAlignment="1">
      <alignment horizontal="left"/>
    </xf>
    <xf numFmtId="43" fontId="10" fillId="7" borderId="5" xfId="13" applyNumberFormat="1" applyFont="1" applyFill="1" applyBorder="1" applyAlignment="1">
      <alignment horizontal="left"/>
    </xf>
    <xf numFmtId="0" fontId="10" fillId="7" borderId="5" xfId="13" applyFont="1" applyFill="1" applyBorder="1" applyAlignment="1">
      <alignment horizontal="left"/>
    </xf>
    <xf numFmtId="0" fontId="18" fillId="19" borderId="31" xfId="8" applyFont="1" applyFill="1" applyBorder="1" applyAlignment="1">
      <alignment horizontal="center"/>
    </xf>
    <xf numFmtId="0" fontId="18" fillId="19" borderId="37" xfId="8" applyFont="1" applyFill="1" applyBorder="1" applyAlignment="1">
      <alignment horizontal="center"/>
    </xf>
    <xf numFmtId="0" fontId="10" fillId="7" borderId="31" xfId="13" applyFont="1" applyFill="1" applyBorder="1" applyAlignment="1">
      <alignment horizontal="left"/>
    </xf>
    <xf numFmtId="0" fontId="10" fillId="7" borderId="37" xfId="13" applyFont="1" applyFill="1" applyBorder="1" applyAlignment="1">
      <alignment horizontal="left"/>
    </xf>
    <xf numFmtId="0" fontId="18" fillId="19" borderId="5" xfId="8" applyFont="1" applyFill="1" applyBorder="1" applyAlignment="1">
      <alignment horizontal="center"/>
    </xf>
    <xf numFmtId="176" fontId="33" fillId="12" borderId="48" xfId="1" applyNumberFormat="1" applyFont="1" applyFill="1" applyBorder="1" applyAlignment="1">
      <alignment horizontal="center"/>
    </xf>
    <xf numFmtId="176" fontId="33" fillId="12" borderId="49" xfId="1" applyNumberFormat="1" applyFont="1" applyFill="1" applyBorder="1" applyAlignment="1">
      <alignment horizontal="center"/>
    </xf>
    <xf numFmtId="176" fontId="33" fillId="12" borderId="50" xfId="1" applyNumberFormat="1" applyFont="1" applyFill="1" applyBorder="1" applyAlignment="1">
      <alignment horizontal="center"/>
    </xf>
    <xf numFmtId="176" fontId="36" fillId="27" borderId="48" xfId="8" applyNumberFormat="1" applyFont="1" applyFill="1" applyBorder="1" applyAlignment="1">
      <alignment horizontal="center" vertical="center"/>
    </xf>
    <xf numFmtId="176" fontId="36" fillId="27" borderId="49" xfId="8" applyNumberFormat="1" applyFont="1" applyFill="1" applyBorder="1" applyAlignment="1">
      <alignment horizontal="center" vertical="center"/>
    </xf>
    <xf numFmtId="176" fontId="36" fillId="27" borderId="50" xfId="8" applyNumberFormat="1" applyFont="1" applyFill="1" applyBorder="1" applyAlignment="1">
      <alignment horizontal="center" vertical="center"/>
    </xf>
    <xf numFmtId="0" fontId="18" fillId="19" borderId="31" xfId="13" applyFont="1" applyFill="1" applyBorder="1" applyAlignment="1">
      <alignment horizontal="center" vertical="center" wrapText="1"/>
    </xf>
    <xf numFmtId="0" fontId="18" fillId="19" borderId="37" xfId="13" applyFont="1" applyFill="1" applyBorder="1" applyAlignment="1">
      <alignment horizontal="center" vertical="center" wrapText="1"/>
    </xf>
    <xf numFmtId="0" fontId="18" fillId="20" borderId="31" xfId="8" applyFont="1" applyFill="1" applyBorder="1" applyAlignment="1">
      <alignment horizontal="left"/>
    </xf>
    <xf numFmtId="0" fontId="18" fillId="20" borderId="37" xfId="8" applyFont="1" applyFill="1" applyBorder="1" applyAlignment="1">
      <alignment horizontal="left"/>
    </xf>
    <xf numFmtId="164" fontId="18" fillId="20" borderId="31" xfId="17" applyFont="1" applyFill="1" applyBorder="1" applyAlignment="1">
      <alignment horizontal="left"/>
    </xf>
    <xf numFmtId="164" fontId="18" fillId="20" borderId="34" xfId="17" applyFont="1" applyFill="1" applyBorder="1" applyAlignment="1">
      <alignment horizontal="left"/>
    </xf>
    <xf numFmtId="164" fontId="18" fillId="20" borderId="37" xfId="17" applyFont="1" applyFill="1" applyBorder="1" applyAlignment="1">
      <alignment horizontal="left"/>
    </xf>
    <xf numFmtId="0" fontId="10" fillId="7" borderId="40" xfId="8" applyFont="1" applyFill="1" applyBorder="1" applyAlignment="1">
      <alignment horizontal="center" wrapText="1"/>
    </xf>
    <xf numFmtId="164" fontId="10" fillId="7" borderId="5" xfId="2" applyFont="1" applyFill="1" applyBorder="1" applyAlignment="1">
      <alignment horizontal="left"/>
    </xf>
    <xf numFmtId="0" fontId="10" fillId="7" borderId="5" xfId="8" applyFont="1" applyFill="1" applyBorder="1" applyAlignment="1">
      <alignment horizontal="left"/>
    </xf>
    <xf numFmtId="177" fontId="10" fillId="7" borderId="5" xfId="50" applyNumberFormat="1" applyFont="1" applyFill="1" applyBorder="1" applyAlignment="1">
      <alignment horizontal="center"/>
    </xf>
    <xf numFmtId="0" fontId="10" fillId="7" borderId="5" xfId="50" applyFont="1" applyFill="1" applyBorder="1" applyAlignment="1">
      <alignment horizontal="center"/>
    </xf>
    <xf numFmtId="174" fontId="10" fillId="7" borderId="5" xfId="50" applyNumberFormat="1" applyFont="1" applyFill="1" applyBorder="1" applyAlignment="1">
      <alignment horizontal="center"/>
    </xf>
    <xf numFmtId="176" fontId="10" fillId="7" borderId="5" xfId="50" applyNumberFormat="1" applyFont="1" applyFill="1" applyBorder="1" applyAlignment="1">
      <alignment horizontal="center"/>
    </xf>
    <xf numFmtId="49" fontId="33" fillId="12" borderId="41" xfId="0" applyNumberFormat="1" applyFont="1" applyFill="1" applyBorder="1" applyAlignment="1">
      <alignment horizontal="left"/>
    </xf>
    <xf numFmtId="49" fontId="36" fillId="23" borderId="41" xfId="0" applyNumberFormat="1" applyFont="1" applyFill="1" applyBorder="1" applyAlignment="1">
      <alignment horizontal="left"/>
    </xf>
    <xf numFmtId="49" fontId="33" fillId="0" borderId="41" xfId="0" applyNumberFormat="1" applyFont="1" applyBorder="1" applyAlignment="1">
      <alignment horizontal="left"/>
    </xf>
    <xf numFmtId="49" fontId="33" fillId="24" borderId="42" xfId="0" applyNumberFormat="1" applyFont="1" applyFill="1" applyBorder="1" applyAlignment="1">
      <alignment horizontal="left"/>
    </xf>
    <xf numFmtId="49" fontId="33" fillId="24" borderId="43" xfId="0" applyNumberFormat="1" applyFont="1" applyFill="1" applyBorder="1" applyAlignment="1">
      <alignment horizontal="left"/>
    </xf>
    <xf numFmtId="0" fontId="51" fillId="7" borderId="0" xfId="8" applyFont="1" applyFill="1" applyAlignment="1">
      <alignment horizontal="center" vertical="center"/>
    </xf>
    <xf numFmtId="0" fontId="51" fillId="0" borderId="0" xfId="8" applyFont="1" applyAlignment="1">
      <alignment horizontal="center"/>
    </xf>
    <xf numFmtId="0" fontId="18" fillId="20" borderId="5" xfId="8" applyFont="1" applyFill="1" applyBorder="1" applyAlignment="1">
      <alignment horizontal="left"/>
    </xf>
    <xf numFmtId="0" fontId="18" fillId="19" borderId="27" xfId="8" applyFont="1" applyFill="1" applyBorder="1" applyAlignment="1">
      <alignment horizontal="center" vertical="center"/>
    </xf>
    <xf numFmtId="0" fontId="51" fillId="7" borderId="5" xfId="8" applyFont="1" applyFill="1" applyBorder="1" applyAlignment="1">
      <alignment horizontal="right"/>
    </xf>
    <xf numFmtId="0" fontId="51" fillId="7" borderId="5" xfId="8" applyFont="1" applyFill="1" applyBorder="1" applyAlignment="1">
      <alignment horizontal="center"/>
    </xf>
    <xf numFmtId="0" fontId="51" fillId="7" borderId="5" xfId="8" applyFont="1" applyFill="1" applyBorder="1" applyAlignment="1">
      <alignment horizontal="left"/>
    </xf>
    <xf numFmtId="0" fontId="18" fillId="19" borderId="46" xfId="8" applyFont="1" applyFill="1" applyBorder="1" applyAlignment="1">
      <alignment horizontal="center"/>
    </xf>
    <xf numFmtId="0" fontId="18" fillId="19" borderId="35" xfId="8" applyFont="1" applyFill="1" applyBorder="1" applyAlignment="1">
      <alignment horizontal="center"/>
    </xf>
    <xf numFmtId="0" fontId="18" fillId="19" borderId="36" xfId="8" applyFont="1" applyFill="1" applyBorder="1" applyAlignment="1">
      <alignment horizontal="center"/>
    </xf>
    <xf numFmtId="0" fontId="18" fillId="11" borderId="35" xfId="13" applyFont="1" applyFill="1" applyBorder="1" applyAlignment="1">
      <alignment horizontal="center"/>
    </xf>
    <xf numFmtId="0" fontId="18" fillId="11" borderId="36" xfId="13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3" borderId="1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2" fillId="0" borderId="0" xfId="1" applyFont="1" applyAlignment="1">
      <alignment horizontal="center" wrapText="1"/>
    </xf>
    <xf numFmtId="0" fontId="72" fillId="36" borderId="0" xfId="69" applyFont="1" applyFill="1" applyAlignment="1">
      <alignment horizontal="center"/>
    </xf>
    <xf numFmtId="164" fontId="36" fillId="36" borderId="96" xfId="69" applyNumberFormat="1" applyFont="1" applyFill="1" applyBorder="1" applyAlignment="1">
      <alignment horizontal="center" vertical="center"/>
    </xf>
    <xf numFmtId="164" fontId="36" fillId="36" borderId="0" xfId="69" applyNumberFormat="1" applyFont="1" applyFill="1" applyAlignment="1">
      <alignment horizontal="center" vertical="center"/>
    </xf>
    <xf numFmtId="10" fontId="1" fillId="12" borderId="94" xfId="69" applyNumberFormat="1" applyFont="1" applyFill="1" applyBorder="1" applyAlignment="1">
      <alignment horizontal="center" vertical="center"/>
    </xf>
    <xf numFmtId="10" fontId="1" fillId="12" borderId="95" xfId="69" applyNumberFormat="1" applyFont="1" applyFill="1" applyBorder="1" applyAlignment="1">
      <alignment horizontal="center" vertical="center"/>
    </xf>
    <xf numFmtId="10" fontId="1" fillId="12" borderId="55" xfId="69" applyNumberFormat="1" applyFont="1" applyFill="1" applyBorder="1" applyAlignment="1">
      <alignment horizontal="center" vertical="center"/>
    </xf>
    <xf numFmtId="164" fontId="36" fillId="36" borderId="98" xfId="69" applyNumberFormat="1" applyFont="1" applyFill="1" applyBorder="1" applyAlignment="1">
      <alignment horizontal="center" vertical="center" wrapText="1"/>
    </xf>
    <xf numFmtId="164" fontId="36" fillId="36" borderId="99" xfId="69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12" borderId="0" xfId="69" applyFont="1" applyFill="1" applyAlignment="1">
      <alignment horizontal="center" vertical="center" wrapText="1"/>
    </xf>
    <xf numFmtId="0" fontId="105" fillId="0" borderId="0" xfId="1" applyFont="1" applyAlignment="1">
      <alignment horizontal="left" wrapText="1"/>
    </xf>
    <xf numFmtId="0" fontId="92" fillId="0" borderId="0" xfId="0" applyFont="1" applyAlignment="1">
      <alignment horizontal="left" wrapText="1"/>
    </xf>
    <xf numFmtId="0" fontId="108" fillId="0" borderId="0" xfId="8" applyFont="1" applyAlignment="1">
      <alignment horizontal="left" vertical="justify" wrapText="1"/>
    </xf>
    <xf numFmtId="0" fontId="93" fillId="33" borderId="0" xfId="1" applyFont="1" applyFill="1" applyAlignment="1">
      <alignment horizontal="center"/>
    </xf>
    <xf numFmtId="0" fontId="48" fillId="0" borderId="0" xfId="0" applyFont="1" applyAlignment="1">
      <alignment horizontal="left" wrapText="1"/>
    </xf>
    <xf numFmtId="0" fontId="93" fillId="33" borderId="97" xfId="1" applyFont="1" applyFill="1" applyBorder="1" applyAlignment="1">
      <alignment horizontal="center"/>
    </xf>
    <xf numFmtId="0" fontId="81" fillId="33" borderId="0" xfId="1" applyFont="1" applyFill="1" applyAlignment="1">
      <alignment horizontal="center" vertical="center" wrapText="1"/>
    </xf>
    <xf numFmtId="0" fontId="111" fillId="0" borderId="0" xfId="1" applyFont="1" applyAlignment="1">
      <alignment horizontal="center"/>
    </xf>
    <xf numFmtId="0" fontId="112" fillId="0" borderId="0" xfId="1" applyFont="1" applyAlignment="1">
      <alignment horizontal="center"/>
    </xf>
    <xf numFmtId="0" fontId="108" fillId="0" borderId="0" xfId="8" applyFont="1" applyAlignment="1">
      <alignment horizontal="left" vertical="top" wrapText="1"/>
    </xf>
    <xf numFmtId="0" fontId="88" fillId="36" borderId="100" xfId="0" applyFont="1" applyFill="1" applyBorder="1" applyAlignment="1">
      <alignment horizontal="center" vertical="center"/>
    </xf>
    <xf numFmtId="0" fontId="88" fillId="36" borderId="101" xfId="0" applyFont="1" applyFill="1" applyBorder="1" applyAlignment="1">
      <alignment horizontal="center" vertical="center"/>
    </xf>
    <xf numFmtId="0" fontId="88" fillId="36" borderId="102" xfId="0" applyFont="1" applyFill="1" applyBorder="1" applyAlignment="1">
      <alignment horizontal="center" vertical="center"/>
    </xf>
    <xf numFmtId="0" fontId="88" fillId="36" borderId="100" xfId="0" applyFont="1" applyFill="1" applyBorder="1" applyAlignment="1">
      <alignment horizontal="center" vertical="center" wrapText="1"/>
    </xf>
    <xf numFmtId="0" fontId="88" fillId="36" borderId="101" xfId="0" applyFont="1" applyFill="1" applyBorder="1" applyAlignment="1">
      <alignment horizontal="center" vertical="center" wrapText="1"/>
    </xf>
    <xf numFmtId="0" fontId="88" fillId="36" borderId="102" xfId="0" applyFont="1" applyFill="1" applyBorder="1" applyAlignment="1">
      <alignment horizontal="center" vertical="center" wrapText="1"/>
    </xf>
    <xf numFmtId="0" fontId="84" fillId="39" borderId="54" xfId="0" applyFont="1" applyFill="1" applyBorder="1" applyAlignment="1">
      <alignment horizontal="center" wrapText="1"/>
    </xf>
    <xf numFmtId="14" fontId="48" fillId="0" borderId="0" xfId="24" applyNumberFormat="1" applyFont="1" applyFill="1" applyAlignment="1">
      <alignment horizontal="left" wrapText="1"/>
    </xf>
    <xf numFmtId="0" fontId="48" fillId="0" borderId="0" xfId="0" applyFont="1" applyAlignment="1">
      <alignment horizontal="center" wrapText="1"/>
    </xf>
    <xf numFmtId="181" fontId="73" fillId="12" borderId="110" xfId="62" applyNumberFormat="1" applyFont="1" applyFill="1" applyBorder="1" applyAlignment="1">
      <alignment horizontal="center" vertical="center"/>
    </xf>
    <xf numFmtId="181" fontId="73" fillId="12" borderId="80" xfId="62" applyNumberFormat="1" applyFont="1" applyFill="1" applyBorder="1" applyAlignment="1">
      <alignment horizontal="center" vertical="center"/>
    </xf>
    <xf numFmtId="182" fontId="73" fillId="12" borderId="94" xfId="62" applyNumberFormat="1" applyFont="1" applyFill="1" applyBorder="1" applyAlignment="1">
      <alignment horizontal="center" vertical="center"/>
    </xf>
    <xf numFmtId="182" fontId="73" fillId="12" borderId="55" xfId="62" applyNumberFormat="1" applyFont="1" applyFill="1" applyBorder="1" applyAlignment="1">
      <alignment horizontal="center" vertical="center"/>
    </xf>
    <xf numFmtId="0" fontId="87" fillId="34" borderId="0" xfId="62" applyFont="1" applyFill="1" applyAlignment="1">
      <alignment horizontal="center"/>
    </xf>
    <xf numFmtId="182" fontId="73" fillId="12" borderId="6" xfId="62" applyNumberFormat="1" applyFont="1" applyFill="1" applyBorder="1" applyAlignment="1">
      <alignment vertical="center"/>
    </xf>
    <xf numFmtId="181" fontId="73" fillId="12" borderId="83" xfId="62" applyNumberFormat="1" applyFont="1" applyFill="1" applyBorder="1" applyAlignment="1">
      <alignment horizontal="center" vertical="center"/>
    </xf>
    <xf numFmtId="181" fontId="73" fillId="12" borderId="84" xfId="62" applyNumberFormat="1" applyFont="1" applyFill="1" applyBorder="1" applyAlignment="1">
      <alignment horizontal="center" vertical="center"/>
    </xf>
    <xf numFmtId="181" fontId="73" fillId="12" borderId="94" xfId="62" applyNumberFormat="1" applyFont="1" applyFill="1" applyBorder="1" applyAlignment="1">
      <alignment horizontal="center" vertical="center"/>
    </xf>
    <xf numFmtId="181" fontId="73" fillId="12" borderId="95" xfId="62" applyNumberFormat="1" applyFont="1" applyFill="1" applyBorder="1" applyAlignment="1">
      <alignment horizontal="center" vertical="center"/>
    </xf>
    <xf numFmtId="182" fontId="73" fillId="12" borderId="112" xfId="62" applyNumberFormat="1" applyFont="1" applyFill="1" applyBorder="1" applyAlignment="1">
      <alignment horizontal="center" vertical="center"/>
    </xf>
    <xf numFmtId="182" fontId="73" fillId="12" borderId="113" xfId="62" applyNumberFormat="1" applyFont="1" applyFill="1" applyBorder="1" applyAlignment="1">
      <alignment horizontal="center" vertical="center"/>
    </xf>
    <xf numFmtId="181" fontId="73" fillId="12" borderId="107" xfId="62" applyNumberFormat="1" applyFont="1" applyFill="1" applyBorder="1" applyAlignment="1">
      <alignment horizontal="center" vertical="center"/>
    </xf>
    <xf numFmtId="181" fontId="73" fillId="12" borderId="108" xfId="62" applyNumberFormat="1" applyFont="1" applyFill="1" applyBorder="1" applyAlignment="1">
      <alignment horizontal="center" vertical="center"/>
    </xf>
    <xf numFmtId="182" fontId="73" fillId="12" borderId="109" xfId="62" applyNumberFormat="1" applyFont="1" applyFill="1" applyBorder="1" applyAlignment="1">
      <alignment horizontal="center" vertical="center"/>
    </xf>
    <xf numFmtId="182" fontId="73" fillId="12" borderId="8" xfId="62" applyNumberFormat="1" applyFont="1" applyFill="1" applyBorder="1" applyAlignment="1">
      <alignment horizontal="center" vertical="center"/>
    </xf>
    <xf numFmtId="182" fontId="73" fillId="12" borderId="9" xfId="62" applyNumberFormat="1" applyFont="1" applyFill="1" applyBorder="1" applyAlignment="1">
      <alignment horizontal="center" vertical="center"/>
    </xf>
    <xf numFmtId="0" fontId="87" fillId="36" borderId="0" xfId="69" applyFont="1" applyFill="1" applyAlignment="1">
      <alignment horizontal="center"/>
    </xf>
    <xf numFmtId="0" fontId="47" fillId="0" borderId="0" xfId="1" applyFont="1" applyAlignment="1">
      <alignment horizontal="center"/>
    </xf>
    <xf numFmtId="0" fontId="97" fillId="31" borderId="0" xfId="0" applyFont="1" applyFill="1" applyAlignment="1" applyProtection="1">
      <alignment horizontal="center" vertical="center" wrapText="1"/>
      <protection hidden="1"/>
    </xf>
    <xf numFmtId="0" fontId="97" fillId="31" borderId="85" xfId="0" applyFont="1" applyFill="1" applyBorder="1" applyAlignment="1" applyProtection="1">
      <alignment horizontal="center" vertical="center" wrapText="1"/>
      <protection hidden="1"/>
    </xf>
    <xf numFmtId="49" fontId="75" fillId="3" borderId="86" xfId="0" applyNumberFormat="1" applyFont="1" applyFill="1" applyBorder="1" applyAlignment="1">
      <alignment horizontal="center"/>
    </xf>
    <xf numFmtId="49" fontId="75" fillId="3" borderId="87" xfId="0" applyNumberFormat="1" applyFont="1" applyFill="1" applyBorder="1" applyAlignment="1">
      <alignment horizontal="center"/>
    </xf>
    <xf numFmtId="49" fontId="0" fillId="38" borderId="89" xfId="0" applyNumberFormat="1" applyFill="1" applyBorder="1" applyAlignment="1">
      <alignment horizontal="center"/>
    </xf>
    <xf numFmtId="49" fontId="0" fillId="38" borderId="54" xfId="0" applyNumberFormat="1" applyFill="1" applyBorder="1" applyAlignment="1">
      <alignment horizontal="center"/>
    </xf>
    <xf numFmtId="49" fontId="75" fillId="3" borderId="91" xfId="0" applyNumberFormat="1" applyFont="1" applyFill="1" applyBorder="1" applyAlignment="1">
      <alignment horizontal="center"/>
    </xf>
    <xf numFmtId="49" fontId="75" fillId="3" borderId="92" xfId="0" applyNumberFormat="1" applyFont="1" applyFill="1" applyBorder="1" applyAlignment="1">
      <alignment horizontal="center"/>
    </xf>
    <xf numFmtId="0" fontId="97" fillId="31" borderId="106" xfId="0" applyFont="1" applyFill="1" applyBorder="1" applyAlignment="1" applyProtection="1">
      <alignment horizontal="center" vertical="center" wrapText="1"/>
      <protection hidden="1"/>
    </xf>
    <xf numFmtId="0" fontId="93" fillId="33" borderId="0" xfId="29" applyFont="1" applyFill="1" applyAlignment="1">
      <alignment horizontal="center"/>
    </xf>
    <xf numFmtId="0" fontId="98" fillId="0" borderId="0" xfId="10" applyFont="1" applyAlignment="1">
      <alignment horizontal="center"/>
    </xf>
    <xf numFmtId="0" fontId="18" fillId="19" borderId="28" xfId="8" applyFont="1" applyFill="1" applyBorder="1" applyAlignment="1">
      <alignment horizontal="center"/>
    </xf>
    <xf numFmtId="0" fontId="18" fillId="19" borderId="29" xfId="8" applyFont="1" applyFill="1" applyBorder="1" applyAlignment="1">
      <alignment horizontal="center"/>
    </xf>
    <xf numFmtId="0" fontId="18" fillId="19" borderId="30" xfId="8" applyFont="1" applyFill="1" applyBorder="1" applyAlignment="1">
      <alignment horizontal="center"/>
    </xf>
    <xf numFmtId="0" fontId="30" fillId="7" borderId="5" xfId="8" applyFont="1" applyFill="1" applyBorder="1" applyAlignment="1">
      <alignment horizontal="left"/>
    </xf>
    <xf numFmtId="164" fontId="29" fillId="19" borderId="38" xfId="2" applyFont="1" applyFill="1" applyBorder="1" applyAlignment="1">
      <alignment horizontal="center"/>
    </xf>
    <xf numFmtId="164" fontId="29" fillId="19" borderId="27" xfId="2" applyFont="1" applyFill="1" applyBorder="1" applyAlignment="1">
      <alignment horizontal="center"/>
    </xf>
    <xf numFmtId="164" fontId="29" fillId="21" borderId="31" xfId="2" applyFont="1" applyFill="1" applyBorder="1" applyAlignment="1">
      <alignment horizontal="center"/>
    </xf>
    <xf numFmtId="164" fontId="29" fillId="21" borderId="34" xfId="2" applyFont="1" applyFill="1" applyBorder="1" applyAlignment="1">
      <alignment horizontal="center"/>
    </xf>
    <xf numFmtId="0" fontId="18" fillId="21" borderId="5" xfId="8" applyFont="1" applyFill="1" applyBorder="1" applyAlignment="1">
      <alignment horizontal="left"/>
    </xf>
    <xf numFmtId="0" fontId="29" fillId="19" borderId="38" xfId="8" applyFont="1" applyFill="1" applyBorder="1" applyAlignment="1">
      <alignment horizontal="center"/>
    </xf>
    <xf numFmtId="0" fontId="29" fillId="19" borderId="27" xfId="8" applyFont="1" applyFill="1" applyBorder="1" applyAlignment="1">
      <alignment horizontal="center"/>
    </xf>
    <xf numFmtId="0" fontId="10" fillId="20" borderId="31" xfId="8" applyFont="1" applyFill="1" applyBorder="1" applyAlignment="1">
      <alignment horizontal="center"/>
    </xf>
    <xf numFmtId="0" fontId="10" fillId="20" borderId="34" xfId="8" applyFont="1" applyFill="1" applyBorder="1" applyAlignment="1">
      <alignment horizontal="center"/>
    </xf>
    <xf numFmtId="0" fontId="18" fillId="19" borderId="31" xfId="8" applyFont="1" applyFill="1" applyBorder="1" applyAlignment="1">
      <alignment horizontal="left"/>
    </xf>
    <xf numFmtId="0" fontId="18" fillId="19" borderId="34" xfId="8" applyFont="1" applyFill="1" applyBorder="1" applyAlignment="1">
      <alignment horizontal="left"/>
    </xf>
    <xf numFmtId="0" fontId="18" fillId="19" borderId="37" xfId="8" applyFont="1" applyFill="1" applyBorder="1" applyAlignment="1">
      <alignment horizontal="left"/>
    </xf>
    <xf numFmtId="0" fontId="18" fillId="19" borderId="38" xfId="8" applyFont="1" applyFill="1" applyBorder="1" applyAlignment="1">
      <alignment horizontal="center"/>
    </xf>
    <xf numFmtId="0" fontId="18" fillId="19" borderId="27" xfId="8" applyFont="1" applyFill="1" applyBorder="1" applyAlignment="1">
      <alignment horizontal="center"/>
    </xf>
    <xf numFmtId="0" fontId="18" fillId="20" borderId="5" xfId="18" applyFont="1" applyFill="1" applyBorder="1" applyAlignment="1">
      <alignment horizontal="left"/>
    </xf>
    <xf numFmtId="164" fontId="18" fillId="20" borderId="34" xfId="2" applyFont="1" applyFill="1" applyBorder="1" applyAlignment="1">
      <alignment horizontal="right"/>
    </xf>
    <xf numFmtId="164" fontId="18" fillId="20" borderId="37" xfId="2" applyFont="1" applyFill="1" applyBorder="1" applyAlignment="1">
      <alignment horizontal="right"/>
    </xf>
    <xf numFmtId="0" fontId="18" fillId="19" borderId="31" xfId="8" applyFont="1" applyFill="1" applyBorder="1" applyAlignment="1">
      <alignment horizontal="center" vertical="center" wrapText="1"/>
    </xf>
    <xf numFmtId="0" fontId="18" fillId="19" borderId="34" xfId="8" applyFont="1" applyFill="1" applyBorder="1" applyAlignment="1">
      <alignment horizontal="center" vertical="center" wrapText="1"/>
    </xf>
    <xf numFmtId="0" fontId="18" fillId="19" borderId="37" xfId="8" applyFont="1" applyFill="1" applyBorder="1" applyAlignment="1">
      <alignment horizontal="center" vertical="center" wrapText="1"/>
    </xf>
    <xf numFmtId="176" fontId="10" fillId="7" borderId="31" xfId="0" applyNumberFormat="1" applyFont="1" applyFill="1" applyBorder="1" applyAlignment="1">
      <alignment horizontal="center"/>
    </xf>
    <xf numFmtId="176" fontId="10" fillId="7" borderId="34" xfId="0" applyNumberFormat="1" applyFont="1" applyFill="1" applyBorder="1" applyAlignment="1">
      <alignment horizontal="center"/>
    </xf>
    <xf numFmtId="176" fontId="10" fillId="7" borderId="37" xfId="0" applyNumberFormat="1" applyFont="1" applyFill="1" applyBorder="1" applyAlignment="1">
      <alignment horizontal="center"/>
    </xf>
    <xf numFmtId="164" fontId="10" fillId="10" borderId="34" xfId="2" applyFont="1" applyFill="1" applyBorder="1" applyAlignment="1">
      <alignment horizontal="center"/>
    </xf>
    <xf numFmtId="164" fontId="10" fillId="10" borderId="37" xfId="2" applyFont="1" applyFill="1" applyBorder="1" applyAlignment="1">
      <alignment horizontal="center"/>
    </xf>
    <xf numFmtId="177" fontId="10" fillId="7" borderId="5" xfId="0" applyNumberFormat="1" applyFont="1" applyFill="1" applyBorder="1" applyAlignment="1">
      <alignment horizontal="right"/>
    </xf>
    <xf numFmtId="0" fontId="10" fillId="7" borderId="5" xfId="0" applyFont="1" applyFill="1" applyBorder="1" applyAlignment="1">
      <alignment horizontal="right"/>
    </xf>
    <xf numFmtId="164" fontId="10" fillId="7" borderId="5" xfId="2" applyFont="1" applyFill="1" applyBorder="1" applyAlignment="1">
      <alignment horizontal="right"/>
    </xf>
    <xf numFmtId="176" fontId="10" fillId="7" borderId="5" xfId="0" applyNumberFormat="1" applyFont="1" applyFill="1" applyBorder="1" applyAlignment="1">
      <alignment horizontal="right"/>
    </xf>
    <xf numFmtId="176" fontId="18" fillId="20" borderId="31" xfId="8" applyNumberFormat="1" applyFont="1" applyFill="1" applyBorder="1" applyAlignment="1">
      <alignment horizontal="center" vertical="center"/>
    </xf>
    <xf numFmtId="176" fontId="18" fillId="20" borderId="34" xfId="8" applyNumberFormat="1" applyFont="1" applyFill="1" applyBorder="1" applyAlignment="1">
      <alignment horizontal="center" vertical="center"/>
    </xf>
    <xf numFmtId="176" fontId="18" fillId="20" borderId="37" xfId="8" applyNumberFormat="1" applyFont="1" applyFill="1" applyBorder="1" applyAlignment="1">
      <alignment horizontal="center" vertical="center"/>
    </xf>
    <xf numFmtId="43" fontId="10" fillId="7" borderId="5" xfId="24" applyFont="1" applyFill="1" applyBorder="1" applyAlignment="1">
      <alignment horizontal="left"/>
    </xf>
    <xf numFmtId="0" fontId="18" fillId="13" borderId="17" xfId="28" applyFont="1" applyFill="1" applyBorder="1" applyAlignment="1">
      <alignment horizontal="center"/>
    </xf>
    <xf numFmtId="0" fontId="38" fillId="2" borderId="18" xfId="28" applyFont="1" applyFill="1" applyBorder="1" applyAlignment="1">
      <alignment horizontal="left" vertical="top" wrapText="1" readingOrder="1"/>
    </xf>
    <xf numFmtId="0" fontId="38" fillId="2" borderId="19" xfId="28" applyFont="1" applyFill="1" applyBorder="1" applyAlignment="1">
      <alignment horizontal="left" vertical="top" wrapText="1" readingOrder="1"/>
    </xf>
    <xf numFmtId="0" fontId="23" fillId="2" borderId="6" xfId="28" applyFont="1" applyFill="1" applyBorder="1" applyAlignment="1">
      <alignment horizontal="center" vertical="center"/>
    </xf>
    <xf numFmtId="0" fontId="35" fillId="2" borderId="0" xfId="49" applyFont="1" applyFill="1" applyAlignment="1">
      <alignment horizontal="center" vertical="center" wrapText="1" readingOrder="1"/>
    </xf>
    <xf numFmtId="0" fontId="35" fillId="2" borderId="0" xfId="49" applyFont="1" applyFill="1" applyAlignment="1">
      <alignment horizontal="center" vertical="center" readingOrder="1"/>
    </xf>
    <xf numFmtId="0" fontId="30" fillId="13" borderId="0" xfId="28" applyFont="1" applyFill="1" applyAlignment="1">
      <alignment horizontal="center"/>
    </xf>
    <xf numFmtId="0" fontId="18" fillId="13" borderId="0" xfId="28" applyFont="1" applyFill="1" applyAlignment="1">
      <alignment horizontal="center"/>
    </xf>
    <xf numFmtId="0" fontId="40" fillId="2" borderId="18" xfId="28" applyFont="1" applyFill="1" applyBorder="1" applyAlignment="1">
      <alignment horizontal="left" vertical="top" wrapText="1" readingOrder="1"/>
    </xf>
    <xf numFmtId="0" fontId="40" fillId="2" borderId="19" xfId="28" applyFont="1" applyFill="1" applyBorder="1" applyAlignment="1">
      <alignment horizontal="left" vertical="top" wrapText="1" readingOrder="1"/>
    </xf>
    <xf numFmtId="0" fontId="42" fillId="2" borderId="0" xfId="28" applyFont="1" applyFill="1" applyAlignment="1">
      <alignment horizontal="left" vertical="center" wrapText="1" readingOrder="1"/>
    </xf>
    <xf numFmtId="44" fontId="42" fillId="2" borderId="0" xfId="48" applyFont="1" applyFill="1" applyAlignment="1">
      <alignment horizontal="center" vertical="center"/>
    </xf>
    <xf numFmtId="0" fontId="23" fillId="2" borderId="0" xfId="28" applyFont="1" applyFill="1" applyAlignment="1">
      <alignment horizontal="left" vertical="center" wrapText="1"/>
    </xf>
    <xf numFmtId="44" fontId="23" fillId="2" borderId="0" xfId="48" applyFont="1" applyFill="1" applyAlignment="1">
      <alignment horizontal="center" vertical="center"/>
    </xf>
    <xf numFmtId="4" fontId="33" fillId="2" borderId="0" xfId="28" applyNumberFormat="1" applyFont="1" applyFill="1" applyAlignment="1">
      <alignment horizontal="center" vertical="top" wrapText="1" readingOrder="1"/>
    </xf>
    <xf numFmtId="0" fontId="39" fillId="2" borderId="0" xfId="28" applyFont="1" applyFill="1" applyAlignment="1">
      <alignment horizontal="center"/>
    </xf>
    <xf numFmtId="0" fontId="33" fillId="0" borderId="12" xfId="28" applyFont="1" applyBorder="1" applyAlignment="1">
      <alignment horizontal="left" vertical="top" wrapText="1" readingOrder="1"/>
    </xf>
    <xf numFmtId="0" fontId="33" fillId="0" borderId="13" xfId="28" applyFont="1" applyBorder="1" applyAlignment="1">
      <alignment horizontal="left" vertical="top" wrapText="1" readingOrder="1"/>
    </xf>
    <xf numFmtId="0" fontId="41" fillId="2" borderId="0" xfId="28" applyFont="1" applyFill="1" applyAlignment="1">
      <alignment horizontal="center"/>
    </xf>
    <xf numFmtId="44" fontId="30" fillId="2" borderId="0" xfId="48" applyFont="1" applyFill="1" applyAlignment="1">
      <alignment horizontal="center" vertical="center" wrapText="1" readingOrder="1"/>
    </xf>
    <xf numFmtId="0" fontId="30" fillId="2" borderId="0" xfId="28" applyFont="1" applyFill="1" applyAlignment="1">
      <alignment horizontal="center"/>
    </xf>
    <xf numFmtId="0" fontId="33" fillId="0" borderId="12" xfId="28" applyFont="1" applyBorder="1" applyAlignment="1">
      <alignment horizontal="left" vertical="top" readingOrder="1"/>
    </xf>
    <xf numFmtId="0" fontId="33" fillId="0" borderId="15" xfId="28" applyFont="1" applyBorder="1" applyAlignment="1">
      <alignment horizontal="left" vertical="top" readingOrder="1"/>
    </xf>
    <xf numFmtId="0" fontId="33" fillId="0" borderId="13" xfId="28" applyFont="1" applyBorder="1" applyAlignment="1">
      <alignment horizontal="left" vertical="top" readingOrder="1"/>
    </xf>
    <xf numFmtId="0" fontId="35" fillId="15" borderId="12" xfId="28" applyFont="1" applyFill="1" applyBorder="1" applyAlignment="1">
      <alignment horizontal="left" vertical="top" wrapText="1" readingOrder="1"/>
    </xf>
    <xf numFmtId="0" fontId="35" fillId="15" borderId="13" xfId="28" applyFont="1" applyFill="1" applyBorder="1" applyAlignment="1">
      <alignment horizontal="left" vertical="top" wrapText="1" readingOrder="1"/>
    </xf>
  </cellXfs>
  <cellStyles count="86">
    <cellStyle name="Comma 2" xfId="6" xr:uid="{00000000-0005-0000-0000-000000000000}"/>
    <cellStyle name="Comma 2 4" xfId="64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Excel Built-in Normal" xfId="78" xr:uid="{98380E7C-E9C1-474E-8823-2C19580F8537}"/>
    <cellStyle name="Millares" xfId="24" builtinId="3"/>
    <cellStyle name="Millares 10" xfId="46" xr:uid="{00000000-0005-0000-0000-000008000000}"/>
    <cellStyle name="Millares 10 2" xfId="52" xr:uid="{FCAD487C-1D6C-4C74-9213-26B79D3C6DA1}"/>
    <cellStyle name="Millares 11" xfId="53" xr:uid="{00000000-0005-0000-0000-000061000000}"/>
    <cellStyle name="Millares 12" xfId="73" xr:uid="{2ABF22C4-60B0-4AA9-918E-4C5D2BD8A1C8}"/>
    <cellStyle name="Millares 13" xfId="76" xr:uid="{87E3871F-60A9-4A19-A240-658FD214A3BF}"/>
    <cellStyle name="Millares 14" xfId="84" xr:uid="{7668684D-FCB6-4D72-A335-CFC19C18B2B3}"/>
    <cellStyle name="Millares 14 2 4" xfId="75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6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5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" xfId="48" builtinId="4"/>
    <cellStyle name="Moneda 2" xfId="44" xr:uid="{00000000-0005-0000-0000-000017000000}"/>
    <cellStyle name="Moneda 3" xfId="43" xr:uid="{00000000-0005-0000-0000-000018000000}"/>
    <cellStyle name="Moneda 4" xfId="67" xr:uid="{13134C84-93BF-4BA5-8868-0D5BCD10A5BD}"/>
    <cellStyle name="Moneda 5" xfId="77" xr:uid="{E9F45F2C-D562-4AA3-928B-9FC80FFF5830}"/>
    <cellStyle name="Normal" xfId="0" builtinId="0"/>
    <cellStyle name="Normal 10" xfId="33" xr:uid="{00000000-0005-0000-0000-00001A000000}"/>
    <cellStyle name="Normal 10 2" xfId="51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9" xr:uid="{4D0C72A7-295F-40A9-9B2B-794BE2DA033F}"/>
    <cellStyle name="Normal 12 2" xfId="29" xr:uid="{00000000-0005-0000-0000-00001E000000}"/>
    <cellStyle name="Normal 13" xfId="71" xr:uid="{A35074EC-5E99-44EC-A49C-A9A97C90FBD4}"/>
    <cellStyle name="Normal 14" xfId="72" xr:uid="{6BBF4C20-A988-4B41-B00A-7C287E6873E4}"/>
    <cellStyle name="Normal 15" xfId="74" xr:uid="{A4B35303-D4BF-4BE2-A97B-E176FB96EFBA}"/>
    <cellStyle name="Normal 16" xfId="80" xr:uid="{2C6A338B-FCEC-42FA-902B-AB93410FA1B0}"/>
    <cellStyle name="Normal 17" xfId="81" xr:uid="{172D1C42-980F-4C66-9D25-C3A723A323CD}"/>
    <cellStyle name="Normal 18" xfId="83" xr:uid="{DA3262D0-52C4-49D4-BF35-A08303C5EBC3}"/>
    <cellStyle name="Normal 2" xfId="1" xr:uid="{00000000-0005-0000-0000-00001F000000}"/>
    <cellStyle name="Normal 2 2" xfId="14" xr:uid="{00000000-0005-0000-0000-000020000000}"/>
    <cellStyle name="Normal 2 2 10" xfId="59" xr:uid="{F4318C62-39E8-44A2-909B-A97BFE969B7F}"/>
    <cellStyle name="Normal 2 3" xfId="28" xr:uid="{00000000-0005-0000-0000-000021000000}"/>
    <cellStyle name="Normal 2 3 2" xfId="49" xr:uid="{75E8DEA5-6230-4790-8474-9BA9765BC118}"/>
    <cellStyle name="Normal 2 3 2 2" xfId="58" xr:uid="{6DD41CF8-72A4-4DF1-A015-72504EC71A87}"/>
    <cellStyle name="Normal 2 3 4" xfId="65" xr:uid="{51476E6B-A431-4486-9543-9893CAF1E910}"/>
    <cellStyle name="Normal 2 35" xfId="63" xr:uid="{0CC99C29-AB57-4BFB-9251-B1D4D85AFB6B}"/>
    <cellStyle name="Normal 2 4" xfId="37" xr:uid="{00000000-0005-0000-0000-000022000000}"/>
    <cellStyle name="Normal 2 4 2" xfId="50" xr:uid="{F2869022-520F-4A6A-A154-53483EBB893F}"/>
    <cellStyle name="Normal 2 5" xfId="54" xr:uid="{00000000-0005-0000-0000-000031000000}"/>
    <cellStyle name="Normal 2 6" xfId="79" xr:uid="{3A334BF6-C95E-4EDA-8B76-D4E299752BE2}"/>
    <cellStyle name="Normal 2 7" xfId="85" xr:uid="{EFAD9A4F-72AF-4F41-9F01-27A2D055FF64}"/>
    <cellStyle name="Normal 20" xfId="62" xr:uid="{798235B2-F3BF-4D73-94CA-57B95128AF77}"/>
    <cellStyle name="Normal 24" xfId="25" xr:uid="{00000000-0005-0000-0000-000023000000}"/>
    <cellStyle name="Normal 26" xfId="57" xr:uid="{E1B5EFC1-E640-40D9-B030-62E50A1B5EBF}"/>
    <cellStyle name="Normal 3" xfId="9" xr:uid="{00000000-0005-0000-0000-000024000000}"/>
    <cellStyle name="Normal 39" xfId="66" xr:uid="{F2CA3AF4-E47F-44D3-ABDB-46748602C28F}"/>
    <cellStyle name="Normal 4" xfId="16" xr:uid="{00000000-0005-0000-0000-000025000000}"/>
    <cellStyle name="Normal 4 2" xfId="60" xr:uid="{59AAB6D9-9F6E-4904-AC92-40696132E275}"/>
    <cellStyle name="Normal 4 2 2 2" xfId="13" xr:uid="{00000000-0005-0000-0000-000026000000}"/>
    <cellStyle name="Normal 5" xfId="21" xr:uid="{00000000-0005-0000-0000-000027000000}"/>
    <cellStyle name="Normal 5 2" xfId="82" xr:uid="{1D5C1A50-3544-400A-8DF1-DF5B544448A6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" xfId="68" builtinId="5"/>
    <cellStyle name="Porcentaje 2" xfId="20" xr:uid="{00000000-0005-0000-0000-00002D000000}"/>
    <cellStyle name="Porcentaje 3" xfId="61" xr:uid="{F8B73A6B-A9C8-461E-8193-FA242F2E45FB}"/>
    <cellStyle name="Porcentaje 4" xfId="70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6038850</xdr:colOff>
      <xdr:row>39</xdr:row>
      <xdr:rowOff>182037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64A680-1358-4742-8303-9BFB2301F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8850" cy="76115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5639587</xdr:colOff>
      <xdr:row>63</xdr:row>
      <xdr:rowOff>76609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E93449-ADD3-3D39-D612-9D3E5F591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144000"/>
          <a:ext cx="5639587" cy="29341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vonne  Ramos Noriega" id="{5A34B9A7-37FD-4529-B430-C50D4CA7127E}" userId="S::iramos@adamantine.com.mx::54d07713-8ec1-46f7-9322-80f47608bb2e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MOS NORIEGA IVONNE" refreshedDate="45517.426708217594" createdVersion="8" refreshedVersion="8" minRefreshableVersion="3" recordCount="9" xr:uid="{15C231A9-8627-48FE-B206-6C6B08455F31}">
  <cacheSource type="worksheet">
    <worksheetSource ref="A11:O20" sheet="GASTOS Y COMISIONES"/>
  </cacheSource>
  <cacheFields count="15">
    <cacheField name="NO." numFmtId="0">
      <sharedItems containsSemiMixedTypes="0" containsString="0" containsNumber="1" containsInteger="1" minValue="1" maxValue="9"/>
    </cacheField>
    <cacheField name="ADMIN" numFmtId="49">
      <sharedItems/>
    </cacheField>
    <cacheField name="CRÉDITO" numFmtId="49">
      <sharedItems/>
    </cacheField>
    <cacheField name="PERIODO" numFmtId="17">
      <sharedItems containsSemiMixedTypes="0" containsNonDate="0" containsDate="1" containsString="0" minDate="2024-07-01T00:00:00" maxDate="2024-07-02T00:00:00"/>
    </cacheField>
    <cacheField name="CONCEPTO DE GASTO" numFmtId="44">
      <sharedItems/>
    </cacheField>
    <cacheField name="CATALOGO GASTOS" numFmtId="14">
      <sharedItems count="1">
        <s v="Judicial"/>
      </sharedItems>
    </cacheField>
    <cacheField name="# FACTURA" numFmtId="49">
      <sharedItems/>
    </cacheField>
    <cacheField name="SUBTOTAL" numFmtId="44">
      <sharedItems containsSemiMixedTypes="0" containsString="0" containsNumber="1" containsInteger="1" minValue="75" maxValue="2000"/>
    </cacheField>
    <cacheField name="IVA" numFmtId="44">
      <sharedItems containsSemiMixedTypes="0" containsString="0" containsNumber="1" containsInteger="1" minValue="0" maxValue="320"/>
    </cacheField>
    <cacheField name="IVA RETENIDO" numFmtId="44">
      <sharedItems containsSemiMixedTypes="0" containsString="0" containsNumber="1" containsInteger="1" minValue="0" maxValue="8"/>
    </cacheField>
    <cacheField name="ISR RETENIDO" numFmtId="44">
      <sharedItems containsSemiMixedTypes="0" containsString="0" containsNumber="1" minValue="0" maxValue="7.5"/>
    </cacheField>
    <cacheField name="TOTAL" numFmtId="44">
      <sharedItems containsSemiMixedTypes="0" containsString="0" containsNumber="1" minValue="71.5" maxValue="2320"/>
    </cacheField>
    <cacheField name="ESTATUS" numFmtId="14">
      <sharedItems count="1">
        <s v="autorizado"/>
      </sharedItems>
    </cacheField>
    <cacheField name="ID FACTURA" numFmtId="49">
      <sharedItems containsSemiMixedTypes="0" containsString="0" containsNumber="1" containsInteger="1" minValue="567772" maxValue="568757"/>
    </cacheField>
    <cacheField name="FECHA CARGA" numFmtId="14">
      <sharedItems containsSemiMixedTypes="0" containsNonDate="0" containsDate="1" containsString="0" minDate="2024-08-07T00:00:00" maxDate="2024-08-0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"/>
    <s v="Patrimonio"/>
    <s v="9938"/>
    <d v="2024-07-01T00:00:00"/>
    <s v="Honorario Gestiones Registro Público"/>
    <x v="0"/>
    <s v="0FFB315E489C"/>
    <n v="800"/>
    <n v="128"/>
    <n v="0"/>
    <n v="0"/>
    <n v="928"/>
    <x v="0"/>
    <n v="568637"/>
    <d v="2024-08-07T00:00:00"/>
  </r>
  <r>
    <n v="2"/>
    <s v="Patrimonio"/>
    <s v="12893"/>
    <d v="2024-07-01T00:00:00"/>
    <s v="Honorario Gestiones por Obtencion de CLG"/>
    <x v="0"/>
    <s v="0FA0EAE94D0D"/>
    <n v="800"/>
    <n v="128"/>
    <n v="0"/>
    <n v="0"/>
    <n v="928"/>
    <x v="0"/>
    <n v="568079"/>
    <d v="2024-08-07T00:00:00"/>
  </r>
  <r>
    <n v="3"/>
    <s v="Patrimonio"/>
    <s v="11022"/>
    <d v="2024-07-01T00:00:00"/>
    <s v="Certificado de gravamen"/>
    <x v="0"/>
    <s v="D7D443D136EF"/>
    <n v="1443"/>
    <n v="0"/>
    <n v="0"/>
    <n v="0"/>
    <n v="1443"/>
    <x v="0"/>
    <n v="568587"/>
    <d v="2024-08-07T00:00:00"/>
  </r>
  <r>
    <n v="4"/>
    <s v="Patrimonio"/>
    <s v="11250"/>
    <d v="2024-07-01T00:00:00"/>
    <s v="Copias certificadas - Fideicomisos"/>
    <x v="0"/>
    <s v="CFB41430281D"/>
    <n v="600"/>
    <n v="96"/>
    <n v="0"/>
    <n v="0"/>
    <n v="696"/>
    <x v="0"/>
    <n v="568757"/>
    <d v="2024-08-07T00:00:00"/>
  </r>
  <r>
    <n v="5"/>
    <s v="Patrimonio"/>
    <s v="8191"/>
    <d v="2024-07-01T00:00:00"/>
    <s v="Copias certificadas - Fideicomisos"/>
    <x v="0"/>
    <s v="CFB41430281D"/>
    <n v="600"/>
    <n v="96"/>
    <n v="0"/>
    <n v="0"/>
    <n v="696"/>
    <x v="0"/>
    <n v="568757"/>
    <d v="2024-08-07T00:00:00"/>
  </r>
  <r>
    <n v="6"/>
    <s v="Patrimonio"/>
    <s v="10567"/>
    <d v="2024-07-01T00:00:00"/>
    <s v="Copias certificadas - Poderes"/>
    <x v="0"/>
    <s v="EA3DC2D09C86"/>
    <n v="75"/>
    <n v="12"/>
    <n v="8"/>
    <n v="7.5"/>
    <n v="71.5"/>
    <x v="0"/>
    <n v="567772"/>
    <d v="2024-08-07T00:00:00"/>
  </r>
  <r>
    <n v="7"/>
    <s v="Patrimonio"/>
    <s v="11250"/>
    <d v="2024-07-01T00:00:00"/>
    <s v="Copias certificadas - Poderes"/>
    <x v="0"/>
    <s v="EA3DC2D09C86"/>
    <n v="75"/>
    <n v="12"/>
    <n v="8"/>
    <n v="7.5"/>
    <n v="71.5"/>
    <x v="0"/>
    <n v="567772"/>
    <d v="2024-08-07T00:00:00"/>
  </r>
  <r>
    <n v="8"/>
    <s v="Patrimonio"/>
    <s v="9938"/>
    <d v="2024-07-01T00:00:00"/>
    <s v="Certificado de gravamen"/>
    <x v="0"/>
    <s v="D43475493267"/>
    <n v="251"/>
    <n v="0"/>
    <n v="0"/>
    <n v="0"/>
    <n v="251"/>
    <x v="0"/>
    <n v="568279"/>
    <d v="2024-08-07T00:00:00"/>
  </r>
  <r>
    <n v="9"/>
    <s v="Patrimonio"/>
    <s v="9751"/>
    <d v="2024-07-01T00:00:00"/>
    <s v="Exhorto para notificar a tercer acreedor SHF"/>
    <x v="0"/>
    <s v="47254BBDAD52"/>
    <n v="2000"/>
    <n v="320"/>
    <n v="0"/>
    <n v="0"/>
    <n v="2320"/>
    <x v="0"/>
    <n v="568216"/>
    <d v="2024-08-0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615D53-1872-4ED5-B3DB-800ACD3B5A54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R14:S16" firstHeaderRow="1" firstDataRow="1" firstDataCol="1" rowPageCount="1" colPageCount="1"/>
  <pivotFields count="15">
    <pivotField showAll="0"/>
    <pivotField showAll="0"/>
    <pivotField numFmtId="49" showAll="0"/>
    <pivotField numFmtId="17" showAll="0"/>
    <pivotField showAll="0"/>
    <pivotField axis="axisRow" showAll="0">
      <items count="2">
        <item x="0"/>
        <item t="default"/>
      </items>
    </pivotField>
    <pivotField showAll="0"/>
    <pivotField dataField="1" numFmtId="44" showAll="0"/>
    <pivotField numFmtId="44" showAll="0"/>
    <pivotField numFmtId="44" showAll="0"/>
    <pivotField numFmtId="44" showAll="0"/>
    <pivotField numFmtId="44" showAll="0"/>
    <pivotField axis="axisPage" showAll="0">
      <items count="2">
        <item x="0"/>
        <item t="default"/>
      </items>
    </pivotField>
    <pivotField numFmtId="49" showAll="0"/>
    <pivotField showAll="0"/>
  </pivotFields>
  <rowFields count="1">
    <field x="5"/>
  </rowFields>
  <rowItems count="2">
    <i>
      <x/>
    </i>
    <i t="grand">
      <x/>
    </i>
  </rowItems>
  <colItems count="1">
    <i/>
  </colItems>
  <pageFields count="1">
    <pageField fld="12" item="0" hier="-1"/>
  </pageFields>
  <dataFields count="1">
    <dataField name="Suma de SUBTOTAL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6" dT="2022-09-16T20:30:27.00" personId="{5A34B9A7-37FD-4529-B430-C50D4CA7127E}" id="{D137518E-4E68-4A89-A252-50A82C4B4C0C}">
    <text>F3 de aplicado pesos</text>
  </threadedComment>
  <threadedComment ref="I37" dT="2022-09-16T20:31:14.36" personId="{5A34B9A7-37FD-4529-B430-C50D4CA7127E}" id="{6880566E-59E2-49A2-B00D-7D310978F0DD}">
    <text>AQ3 de aplicado pesos</text>
  </threadedComment>
  <threadedComment ref="I40" dT="2022-09-16T20:32:01.66" personId="{5A34B9A7-37FD-4529-B430-C50D4CA7127E}" id="{401CA44C-CF07-428F-8C12-72E23E6B48BC}">
    <text>G3 de aplicado pesos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3219-1BCF-468E-86DA-9B8A2CD8B062}">
  <dimension ref="A1:M105"/>
  <sheetViews>
    <sheetView showGridLines="0" tabSelected="1" view="pageBreakPreview" zoomScale="90" zoomScaleNormal="90" zoomScaleSheetLayoutView="90" workbookViewId="0">
      <selection activeCell="C82" sqref="C82"/>
    </sheetView>
  </sheetViews>
  <sheetFormatPr baseColWidth="10" defaultColWidth="9.140625" defaultRowHeight="12" x14ac:dyDescent="0.2"/>
  <cols>
    <col min="1" max="1" width="6" style="462" customWidth="1"/>
    <col min="2" max="2" width="60.42578125" style="377" customWidth="1"/>
    <col min="3" max="3" width="23" style="377" customWidth="1"/>
    <col min="4" max="4" width="19.42578125" style="377" bestFit="1" customWidth="1"/>
    <col min="5" max="5" width="19.140625" style="377" customWidth="1"/>
    <col min="6" max="6" width="21.42578125" style="377" bestFit="1" customWidth="1"/>
    <col min="7" max="7" width="16.85546875" style="377" customWidth="1"/>
    <col min="8" max="8" width="30.7109375" style="377" customWidth="1"/>
    <col min="9" max="9" width="16.42578125" style="377" customWidth="1"/>
    <col min="10" max="10" width="16" style="377" bestFit="1" customWidth="1"/>
    <col min="11" max="11" width="16.140625" style="377" customWidth="1"/>
    <col min="12" max="12" width="19.140625" style="377" bestFit="1" customWidth="1"/>
    <col min="13" max="13" width="18" style="377" bestFit="1" customWidth="1"/>
    <col min="14" max="14" width="8" style="377" customWidth="1"/>
    <col min="15" max="15" width="9.85546875" style="377" bestFit="1" customWidth="1"/>
    <col min="16" max="16" width="6.85546875" style="377" customWidth="1"/>
    <col min="17" max="17" width="23.7109375" style="377" customWidth="1"/>
    <col min="18" max="16384" width="9.140625" style="377"/>
  </cols>
  <sheetData>
    <row r="1" spans="1:13" ht="12.75" x14ac:dyDescent="0.2">
      <c r="A1" s="875" t="s">
        <v>406</v>
      </c>
      <c r="B1" s="875"/>
      <c r="C1" s="875"/>
      <c r="D1" s="875"/>
      <c r="E1" s="875"/>
      <c r="F1" s="875"/>
      <c r="G1" s="386"/>
      <c r="H1" s="387"/>
      <c r="I1" s="387"/>
      <c r="J1" s="387"/>
      <c r="L1" s="527" t="s">
        <v>255</v>
      </c>
      <c r="M1" s="377" t="s">
        <v>948</v>
      </c>
    </row>
    <row r="2" spans="1:13" ht="15" customHeight="1" x14ac:dyDescent="0.2">
      <c r="A2" s="875" t="s">
        <v>1042</v>
      </c>
      <c r="B2" s="875"/>
      <c r="C2" s="875"/>
      <c r="D2" s="875"/>
      <c r="E2" s="875"/>
      <c r="F2" s="875"/>
      <c r="G2" s="460"/>
      <c r="H2" s="386"/>
      <c r="I2" s="387"/>
      <c r="J2" s="387"/>
      <c r="L2" s="377">
        <v>2022</v>
      </c>
      <c r="M2" s="528" t="s">
        <v>949</v>
      </c>
    </row>
    <row r="3" spans="1:13" ht="12" customHeight="1" x14ac:dyDescent="0.2">
      <c r="A3" s="875" t="s">
        <v>1043</v>
      </c>
      <c r="B3" s="875"/>
      <c r="C3" s="875"/>
      <c r="D3" s="875"/>
      <c r="E3" s="875"/>
      <c r="F3" s="875"/>
      <c r="G3" s="386"/>
      <c r="H3" s="388"/>
      <c r="I3" s="387"/>
      <c r="J3" s="387"/>
      <c r="M3" s="378"/>
    </row>
    <row r="4" spans="1:13" ht="12.75" x14ac:dyDescent="0.2">
      <c r="A4" s="501"/>
      <c r="B4" s="483"/>
      <c r="C4" s="483"/>
      <c r="D4" s="483"/>
      <c r="E4" s="483"/>
      <c r="F4" s="483"/>
      <c r="G4" s="388"/>
      <c r="H4" s="389"/>
      <c r="I4" s="387"/>
      <c r="J4" s="387"/>
    </row>
    <row r="5" spans="1:13" ht="25.5" x14ac:dyDescent="0.2">
      <c r="A5" s="389"/>
      <c r="B5" s="390" t="s">
        <v>99</v>
      </c>
      <c r="C5" s="391" t="s">
        <v>100</v>
      </c>
      <c r="D5" s="391" t="s">
        <v>60</v>
      </c>
      <c r="E5" s="391" t="s">
        <v>393</v>
      </c>
      <c r="F5" s="391" t="s">
        <v>101</v>
      </c>
      <c r="G5" s="386"/>
      <c r="H5" s="386"/>
      <c r="I5" s="443"/>
      <c r="J5" s="387"/>
    </row>
    <row r="6" spans="1:13" ht="12.75" x14ac:dyDescent="0.2">
      <c r="A6" s="389"/>
      <c r="B6" s="390" t="s">
        <v>102</v>
      </c>
      <c r="C6" s="392" t="s">
        <v>99</v>
      </c>
      <c r="D6" s="393">
        <v>8.2083440000000003</v>
      </c>
      <c r="E6" s="392" t="s">
        <v>99</v>
      </c>
      <c r="F6" s="394"/>
      <c r="G6" s="388"/>
      <c r="H6" s="387"/>
      <c r="I6" s="447"/>
      <c r="J6" s="387"/>
    </row>
    <row r="7" spans="1:13" ht="12.75" x14ac:dyDescent="0.2">
      <c r="A7" s="502"/>
      <c r="B7" s="484" t="s">
        <v>103</v>
      </c>
      <c r="C7" s="485" t="s">
        <v>99</v>
      </c>
      <c r="D7" s="485" t="s">
        <v>99</v>
      </c>
      <c r="E7" s="485" t="s">
        <v>99</v>
      </c>
      <c r="F7" s="486" t="s">
        <v>99</v>
      </c>
      <c r="G7" s="386"/>
      <c r="H7" s="878" t="s">
        <v>98</v>
      </c>
      <c r="I7" s="878"/>
      <c r="J7" s="878"/>
    </row>
    <row r="8" spans="1:13" ht="12.75" x14ac:dyDescent="0.2">
      <c r="A8" s="503">
        <v>1</v>
      </c>
      <c r="B8" s="395" t="s">
        <v>104</v>
      </c>
      <c r="C8" s="396">
        <f>I15</f>
        <v>7873961.9499999974</v>
      </c>
      <c r="D8" s="397">
        <f>C8*$D$6</f>
        <v>64632188.328510784</v>
      </c>
      <c r="E8" s="398">
        <v>0</v>
      </c>
      <c r="F8" s="397">
        <f>D8+E8</f>
        <v>64632188.328510784</v>
      </c>
      <c r="G8" s="461"/>
      <c r="H8" s="399"/>
      <c r="I8" s="879" t="s">
        <v>2</v>
      </c>
      <c r="J8" s="879" t="s">
        <v>71</v>
      </c>
      <c r="K8" s="545">
        <f>(C8*$D$6)+E8-F8</f>
        <v>0</v>
      </c>
    </row>
    <row r="9" spans="1:13" ht="12.75" x14ac:dyDescent="0.2">
      <c r="A9" s="504">
        <v>2</v>
      </c>
      <c r="B9" s="395" t="s">
        <v>106</v>
      </c>
      <c r="C9" s="396">
        <v>49110.81</v>
      </c>
      <c r="D9" s="397">
        <f t="shared" ref="D9:D12" si="0">C9*$D$6</f>
        <v>403118.42259863997</v>
      </c>
      <c r="E9" s="400">
        <v>0</v>
      </c>
      <c r="F9" s="397">
        <f>D9+E9</f>
        <v>403118.42259863997</v>
      </c>
      <c r="G9" s="461"/>
      <c r="H9" s="401"/>
      <c r="I9" s="879"/>
      <c r="J9" s="879"/>
      <c r="K9" s="545">
        <f t="shared" ref="K9:K69" si="1">(C9*$D$6)+E9-F9</f>
        <v>0</v>
      </c>
    </row>
    <row r="10" spans="1:13" ht="12.75" x14ac:dyDescent="0.2">
      <c r="A10" s="504">
        <v>3</v>
      </c>
      <c r="B10" s="395" t="s">
        <v>108</v>
      </c>
      <c r="C10" s="396">
        <v>1453.62</v>
      </c>
      <c r="D10" s="397">
        <f t="shared" si="0"/>
        <v>11931.813005279999</v>
      </c>
      <c r="E10" s="397">
        <v>0</v>
      </c>
      <c r="F10" s="397">
        <f>D10+E10</f>
        <v>11931.813005279999</v>
      </c>
      <c r="G10" s="461"/>
      <c r="H10" s="402" t="s">
        <v>70</v>
      </c>
      <c r="I10" s="403">
        <v>7873961.9499999974</v>
      </c>
      <c r="J10" s="408">
        <f>I10*$D$6</f>
        <v>64632188.328510784</v>
      </c>
      <c r="K10" s="545">
        <f t="shared" si="1"/>
        <v>0</v>
      </c>
      <c r="L10" s="545">
        <f>I10-C8-I11</f>
        <v>0</v>
      </c>
      <c r="M10" s="545">
        <f>J10-D8</f>
        <v>0</v>
      </c>
    </row>
    <row r="11" spans="1:13" ht="12.75" x14ac:dyDescent="0.2">
      <c r="A11" s="504">
        <v>4</v>
      </c>
      <c r="B11" s="395" t="s">
        <v>110</v>
      </c>
      <c r="C11" s="405">
        <v>0</v>
      </c>
      <c r="D11" s="397">
        <f t="shared" si="0"/>
        <v>0</v>
      </c>
      <c r="E11" s="406">
        <v>0</v>
      </c>
      <c r="F11" s="397">
        <f>D11+E11</f>
        <v>0</v>
      </c>
      <c r="G11" s="461"/>
      <c r="H11" s="407" t="s">
        <v>443</v>
      </c>
      <c r="I11" s="408">
        <v>0</v>
      </c>
      <c r="J11" s="408">
        <f t="shared" ref="J11:J12" si="2">I11*$D$6</f>
        <v>0</v>
      </c>
      <c r="K11" s="545">
        <f t="shared" si="1"/>
        <v>0</v>
      </c>
    </row>
    <row r="12" spans="1:13" ht="12.75" x14ac:dyDescent="0.2">
      <c r="A12" s="504">
        <v>5</v>
      </c>
      <c r="B12" s="409" t="s">
        <v>112</v>
      </c>
      <c r="C12" s="535">
        <v>2690.1600000020117</v>
      </c>
      <c r="D12" s="536">
        <f t="shared" si="0"/>
        <v>22081.758695056513</v>
      </c>
      <c r="E12" s="406">
        <v>0</v>
      </c>
      <c r="F12" s="536">
        <f>D12+E12</f>
        <v>22081.758695056513</v>
      </c>
      <c r="G12" s="461"/>
      <c r="H12" s="410" t="s">
        <v>457</v>
      </c>
      <c r="I12" s="411">
        <v>0</v>
      </c>
      <c r="J12" s="408">
        <f t="shared" si="2"/>
        <v>0</v>
      </c>
      <c r="K12" s="545">
        <f t="shared" si="1"/>
        <v>0</v>
      </c>
    </row>
    <row r="13" spans="1:13" ht="12.75" x14ac:dyDescent="0.2">
      <c r="A13" s="505">
        <v>6</v>
      </c>
      <c r="B13" s="412" t="s">
        <v>114</v>
      </c>
      <c r="C13" s="413">
        <f>C8-C9-C10-C11+C12</f>
        <v>7826087.6799999997</v>
      </c>
      <c r="D13" s="413">
        <f>D8-D9-D10-D11+D12</f>
        <v>64239219.851601921</v>
      </c>
      <c r="E13" s="413">
        <f>E8-E9-E10-E11+E12</f>
        <v>0</v>
      </c>
      <c r="F13" s="413">
        <f>+D13+E13</f>
        <v>64239219.851601921</v>
      </c>
      <c r="G13" s="461"/>
      <c r="H13" s="407" t="s">
        <v>109</v>
      </c>
      <c r="I13" s="408">
        <f>I10-I11+I12</f>
        <v>7873961.9499999974</v>
      </c>
      <c r="J13" s="408">
        <f>I13*$D$6</f>
        <v>64632188.328510784</v>
      </c>
      <c r="K13" s="545">
        <f t="shared" si="1"/>
        <v>0</v>
      </c>
    </row>
    <row r="14" spans="1:13" ht="12.75" x14ac:dyDescent="0.2">
      <c r="A14" s="506"/>
      <c r="B14" s="487" t="s">
        <v>394</v>
      </c>
      <c r="C14" s="488"/>
      <c r="D14" s="488"/>
      <c r="E14" s="488"/>
      <c r="F14" s="489"/>
      <c r="G14" s="461"/>
      <c r="H14" s="407" t="s">
        <v>111</v>
      </c>
      <c r="I14" s="408">
        <v>0</v>
      </c>
      <c r="J14" s="408">
        <v>0</v>
      </c>
      <c r="K14" s="545"/>
    </row>
    <row r="15" spans="1:13" ht="12" customHeight="1" x14ac:dyDescent="0.2">
      <c r="A15" s="503">
        <v>7</v>
      </c>
      <c r="B15" s="497" t="s">
        <v>116</v>
      </c>
      <c r="C15" s="397">
        <f>C9</f>
        <v>49110.81</v>
      </c>
      <c r="D15" s="397">
        <f>C15*D$6</f>
        <v>403118.42259863997</v>
      </c>
      <c r="E15" s="400">
        <f>+E9</f>
        <v>0</v>
      </c>
      <c r="F15" s="397">
        <f>D15+E15</f>
        <v>403118.42259863997</v>
      </c>
      <c r="G15" s="461"/>
      <c r="H15" s="410" t="s">
        <v>113</v>
      </c>
      <c r="I15" s="411">
        <f>+I13-I14</f>
        <v>7873961.9499999974</v>
      </c>
      <c r="J15" s="414">
        <f>I15*D6</f>
        <v>64632188.328510784</v>
      </c>
      <c r="K15" s="545">
        <f t="shared" si="1"/>
        <v>0</v>
      </c>
      <c r="L15" s="545">
        <f>I15-C8</f>
        <v>0</v>
      </c>
      <c r="M15" s="545">
        <f>J15-D8</f>
        <v>0</v>
      </c>
    </row>
    <row r="16" spans="1:13" ht="12.75" x14ac:dyDescent="0.2">
      <c r="A16" s="504">
        <v>8</v>
      </c>
      <c r="B16" s="498" t="s">
        <v>108</v>
      </c>
      <c r="C16" s="397">
        <f>C10</f>
        <v>1453.62</v>
      </c>
      <c r="D16" s="397">
        <f>C16*D$6</f>
        <v>11931.813005279999</v>
      </c>
      <c r="E16" s="416">
        <f>+E10</f>
        <v>0</v>
      </c>
      <c r="F16" s="397">
        <f>D16+E16</f>
        <v>11931.813005279999</v>
      </c>
      <c r="G16" s="461"/>
      <c r="H16" s="417"/>
      <c r="I16" s="417"/>
      <c r="J16" s="417"/>
      <c r="K16" s="545">
        <f t="shared" si="1"/>
        <v>0</v>
      </c>
    </row>
    <row r="17" spans="1:13" ht="12" customHeight="1" x14ac:dyDescent="0.2">
      <c r="A17" s="507">
        <v>9</v>
      </c>
      <c r="B17" s="497" t="s">
        <v>119</v>
      </c>
      <c r="C17" s="397">
        <f>+D17/D6</f>
        <v>0</v>
      </c>
      <c r="D17" s="397">
        <v>0</v>
      </c>
      <c r="E17" s="406">
        <v>0</v>
      </c>
      <c r="F17" s="397">
        <f>D17+E17</f>
        <v>0</v>
      </c>
      <c r="G17" s="461"/>
      <c r="H17" s="880" t="s">
        <v>93</v>
      </c>
      <c r="I17" s="880"/>
      <c r="J17" s="880"/>
      <c r="K17" s="545">
        <f t="shared" si="1"/>
        <v>0</v>
      </c>
    </row>
    <row r="18" spans="1:13" ht="12" customHeight="1" x14ac:dyDescent="0.2">
      <c r="A18" s="507">
        <v>10</v>
      </c>
      <c r="B18" s="497" t="s">
        <v>395</v>
      </c>
      <c r="C18" s="397">
        <v>0</v>
      </c>
      <c r="D18" s="397">
        <f>+C18*$D$6</f>
        <v>0</v>
      </c>
      <c r="E18" s="406">
        <v>0</v>
      </c>
      <c r="F18" s="397">
        <f>D18+E18</f>
        <v>0</v>
      </c>
      <c r="G18" s="461"/>
      <c r="H18" s="873" t="s">
        <v>117</v>
      </c>
      <c r="I18" s="874"/>
      <c r="J18" s="786">
        <v>275486.84881268663</v>
      </c>
      <c r="K18" s="545">
        <f t="shared" si="1"/>
        <v>0</v>
      </c>
    </row>
    <row r="19" spans="1:13" ht="12" customHeight="1" x14ac:dyDescent="0.2">
      <c r="A19" s="504">
        <v>11</v>
      </c>
      <c r="B19" s="497" t="s">
        <v>120</v>
      </c>
      <c r="C19" s="397">
        <v>1.24</v>
      </c>
      <c r="D19" s="397">
        <f>C19*D$6</f>
        <v>10.17834656</v>
      </c>
      <c r="E19" s="406">
        <v>0</v>
      </c>
      <c r="F19" s="397">
        <f>D19+E19</f>
        <v>10.17834656</v>
      </c>
      <c r="G19" s="461"/>
      <c r="H19" s="883" t="s">
        <v>203</v>
      </c>
      <c r="I19" s="884"/>
      <c r="J19" s="786">
        <v>0</v>
      </c>
      <c r="K19" s="545">
        <f t="shared" si="1"/>
        <v>0</v>
      </c>
    </row>
    <row r="20" spans="1:13" ht="15" customHeight="1" x14ac:dyDescent="0.2">
      <c r="A20" s="517">
        <v>12</v>
      </c>
      <c r="B20" s="518" t="s">
        <v>396</v>
      </c>
      <c r="C20" s="519">
        <f>C15+C16+C17-C19+C18</f>
        <v>50563.19</v>
      </c>
      <c r="D20" s="519">
        <f t="shared" ref="D20:F20" si="3">D15+D16+D17-D19+D18</f>
        <v>415040.05725735996</v>
      </c>
      <c r="E20" s="519">
        <f t="shared" si="3"/>
        <v>0</v>
      </c>
      <c r="F20" s="519">
        <f t="shared" si="3"/>
        <v>415040.05725735996</v>
      </c>
      <c r="G20" s="461"/>
      <c r="H20" s="873" t="s">
        <v>118</v>
      </c>
      <c r="I20" s="874"/>
      <c r="J20" s="786">
        <f>F31</f>
        <v>10467.107893576002</v>
      </c>
      <c r="K20" s="545">
        <f t="shared" si="1"/>
        <v>0</v>
      </c>
    </row>
    <row r="21" spans="1:13" ht="13.5" customHeight="1" x14ac:dyDescent="0.2">
      <c r="A21" s="504">
        <v>13</v>
      </c>
      <c r="B21" s="498" t="s">
        <v>123</v>
      </c>
      <c r="C21" s="397">
        <v>29390.15</v>
      </c>
      <c r="D21" s="397">
        <f t="shared" ref="D21:D33" si="4">C21*D$6</f>
        <v>241244.46141160003</v>
      </c>
      <c r="E21" s="406">
        <v>0</v>
      </c>
      <c r="F21" s="397">
        <f>SUM(D21:E21)</f>
        <v>241244.46141160003</v>
      </c>
      <c r="G21" s="461"/>
      <c r="H21" s="876" t="s">
        <v>92</v>
      </c>
      <c r="I21" s="877"/>
      <c r="J21" s="418">
        <f>F33</f>
        <v>5459.1492660303529</v>
      </c>
      <c r="K21" s="545">
        <f t="shared" si="1"/>
        <v>0</v>
      </c>
    </row>
    <row r="22" spans="1:13" ht="12" customHeight="1" x14ac:dyDescent="0.2">
      <c r="A22" s="504">
        <v>14</v>
      </c>
      <c r="B22" s="498" t="s">
        <v>124</v>
      </c>
      <c r="C22" s="397">
        <v>0</v>
      </c>
      <c r="D22" s="397">
        <f t="shared" si="4"/>
        <v>0</v>
      </c>
      <c r="E22" s="406">
        <v>0</v>
      </c>
      <c r="F22" s="397">
        <f t="shared" ref="F22:F34" si="5">SUM(D22:E22)</f>
        <v>0</v>
      </c>
      <c r="G22" s="461"/>
      <c r="H22" s="876" t="s">
        <v>974</v>
      </c>
      <c r="I22" s="877"/>
      <c r="J22" s="418">
        <v>0</v>
      </c>
      <c r="K22" s="545">
        <f t="shared" si="1"/>
        <v>0</v>
      </c>
    </row>
    <row r="23" spans="1:13" ht="12" customHeight="1" x14ac:dyDescent="0.2">
      <c r="A23" s="504">
        <v>15</v>
      </c>
      <c r="B23" s="497" t="s">
        <v>126</v>
      </c>
      <c r="C23" s="397">
        <v>8290.68</v>
      </c>
      <c r="D23" s="397">
        <f t="shared" si="4"/>
        <v>68052.753433920007</v>
      </c>
      <c r="E23" s="406">
        <v>0</v>
      </c>
      <c r="F23" s="397">
        <f t="shared" si="5"/>
        <v>68052.753433920007</v>
      </c>
      <c r="G23" s="461"/>
      <c r="H23" s="885" t="s">
        <v>121</v>
      </c>
      <c r="I23" s="886"/>
      <c r="J23" s="419">
        <f>J18+J20-J21+J19+J22</f>
        <v>280494.80744023231</v>
      </c>
      <c r="K23" s="545">
        <f t="shared" si="1"/>
        <v>0</v>
      </c>
      <c r="M23" s="381"/>
    </row>
    <row r="24" spans="1:13" ht="12" customHeight="1" x14ac:dyDescent="0.2">
      <c r="A24" s="504">
        <v>16</v>
      </c>
      <c r="B24" s="497" t="s">
        <v>128</v>
      </c>
      <c r="C24" s="397">
        <v>0</v>
      </c>
      <c r="D24" s="397">
        <f t="shared" si="4"/>
        <v>0</v>
      </c>
      <c r="E24" s="406">
        <v>0</v>
      </c>
      <c r="F24" s="397">
        <f t="shared" si="5"/>
        <v>0</v>
      </c>
      <c r="G24" s="461"/>
      <c r="H24" s="420"/>
      <c r="I24" s="420"/>
      <c r="J24" s="421"/>
      <c r="K24" s="545"/>
    </row>
    <row r="25" spans="1:13" ht="12.75" x14ac:dyDescent="0.2">
      <c r="A25" s="504">
        <v>17</v>
      </c>
      <c r="B25" s="497" t="s">
        <v>130</v>
      </c>
      <c r="C25" s="397">
        <v>7252.03</v>
      </c>
      <c r="D25" s="397">
        <f t="shared" si="4"/>
        <v>59527.156938319997</v>
      </c>
      <c r="E25" s="406">
        <v>0</v>
      </c>
      <c r="F25" s="397">
        <f t="shared" si="5"/>
        <v>59527.156938319997</v>
      </c>
      <c r="G25" s="461"/>
      <c r="H25" s="881" t="s">
        <v>95</v>
      </c>
      <c r="I25" s="881"/>
      <c r="J25" s="881"/>
      <c r="K25" s="545">
        <f t="shared" si="1"/>
        <v>0</v>
      </c>
    </row>
    <row r="26" spans="1:13" ht="15" customHeight="1" x14ac:dyDescent="0.2">
      <c r="A26" s="504">
        <v>18</v>
      </c>
      <c r="B26" s="498" t="s">
        <v>131</v>
      </c>
      <c r="C26" s="397">
        <v>6660.74</v>
      </c>
      <c r="D26" s="397">
        <f t="shared" si="4"/>
        <v>54673.645214559998</v>
      </c>
      <c r="E26" s="406">
        <v>0</v>
      </c>
      <c r="F26" s="397">
        <f t="shared" si="5"/>
        <v>54673.645214559998</v>
      </c>
      <c r="G26" s="461"/>
      <c r="H26" s="876" t="s">
        <v>125</v>
      </c>
      <c r="I26" s="877"/>
      <c r="J26" s="418">
        <v>898138.25572012004</v>
      </c>
      <c r="K26" s="545">
        <f t="shared" si="1"/>
        <v>0</v>
      </c>
    </row>
    <row r="27" spans="1:13" ht="12.75" x14ac:dyDescent="0.2">
      <c r="A27" s="504">
        <v>19</v>
      </c>
      <c r="B27" s="497" t="s">
        <v>132</v>
      </c>
      <c r="C27" s="397">
        <v>0</v>
      </c>
      <c r="D27" s="397">
        <f t="shared" si="4"/>
        <v>0</v>
      </c>
      <c r="E27" s="406">
        <v>0</v>
      </c>
      <c r="F27" s="397">
        <f t="shared" si="5"/>
        <v>0</v>
      </c>
      <c r="G27" s="461"/>
      <c r="H27" s="876" t="s">
        <v>127</v>
      </c>
      <c r="I27" s="877"/>
      <c r="J27" s="404">
        <f>F27</f>
        <v>0</v>
      </c>
      <c r="K27" s="545">
        <f t="shared" si="1"/>
        <v>0</v>
      </c>
    </row>
    <row r="28" spans="1:13" ht="12.75" x14ac:dyDescent="0.2">
      <c r="A28" s="504">
        <v>20</v>
      </c>
      <c r="B28" s="498" t="s">
        <v>133</v>
      </c>
      <c r="C28" s="397">
        <v>914.03</v>
      </c>
      <c r="D28" s="397">
        <f t="shared" si="4"/>
        <v>7502.6726663199997</v>
      </c>
      <c r="E28" s="406">
        <v>0</v>
      </c>
      <c r="F28" s="397">
        <f t="shared" si="5"/>
        <v>7502.6726663199997</v>
      </c>
      <c r="G28" s="461"/>
      <c r="H28" s="876" t="s">
        <v>129</v>
      </c>
      <c r="I28" s="877"/>
      <c r="J28" s="404">
        <v>0</v>
      </c>
      <c r="K28" s="545">
        <f t="shared" si="1"/>
        <v>0</v>
      </c>
    </row>
    <row r="29" spans="1:13" ht="12.75" x14ac:dyDescent="0.2">
      <c r="A29" s="504">
        <v>21</v>
      </c>
      <c r="B29" s="498" t="s">
        <v>134</v>
      </c>
      <c r="C29" s="397">
        <v>676</v>
      </c>
      <c r="D29" s="397">
        <f t="shared" si="4"/>
        <v>5548.8405440000006</v>
      </c>
      <c r="E29" s="406">
        <v>0</v>
      </c>
      <c r="F29" s="397">
        <f t="shared" si="5"/>
        <v>5548.8405440000006</v>
      </c>
      <c r="G29" s="461"/>
      <c r="H29" s="876" t="s">
        <v>512</v>
      </c>
      <c r="I29" s="877"/>
      <c r="J29" s="418">
        <v>0</v>
      </c>
      <c r="K29" s="545">
        <f t="shared" si="1"/>
        <v>0</v>
      </c>
    </row>
    <row r="30" spans="1:13" ht="12.75" x14ac:dyDescent="0.2">
      <c r="A30" s="504">
        <v>22</v>
      </c>
      <c r="B30" s="498" t="s">
        <v>135</v>
      </c>
      <c r="C30" s="397">
        <v>300</v>
      </c>
      <c r="D30" s="397">
        <f t="shared" si="4"/>
        <v>2462.5032000000001</v>
      </c>
      <c r="E30" s="406">
        <v>0</v>
      </c>
      <c r="F30" s="397">
        <f t="shared" si="5"/>
        <v>2462.5032000000001</v>
      </c>
      <c r="G30" s="461"/>
      <c r="H30" s="885" t="s">
        <v>94</v>
      </c>
      <c r="I30" s="886"/>
      <c r="J30" s="419">
        <f>J26+J27-J28-J29</f>
        <v>898138.25572012004</v>
      </c>
      <c r="K30" s="545">
        <f t="shared" si="1"/>
        <v>0</v>
      </c>
    </row>
    <row r="31" spans="1:13" ht="12.75" x14ac:dyDescent="0.2">
      <c r="A31" s="504">
        <v>23</v>
      </c>
      <c r="B31" s="497" t="s">
        <v>136</v>
      </c>
      <c r="C31" s="397">
        <v>1275.1790000000001</v>
      </c>
      <c r="D31" s="397">
        <f t="shared" si="4"/>
        <v>10467.107893576002</v>
      </c>
      <c r="E31" s="406">
        <v>0</v>
      </c>
      <c r="F31" s="397">
        <f t="shared" si="5"/>
        <v>10467.107893576002</v>
      </c>
      <c r="G31" s="461"/>
      <c r="H31" s="422"/>
      <c r="I31" s="387"/>
      <c r="J31" s="387"/>
      <c r="K31" s="545">
        <f t="shared" si="1"/>
        <v>0</v>
      </c>
    </row>
    <row r="32" spans="1:13" ht="15" x14ac:dyDescent="0.25">
      <c r="A32" s="504">
        <v>24</v>
      </c>
      <c r="B32" s="497" t="s">
        <v>468</v>
      </c>
      <c r="C32" s="397">
        <v>409.14</v>
      </c>
      <c r="D32" s="397">
        <f t="shared" si="4"/>
        <v>3358.3618641600001</v>
      </c>
      <c r="E32" s="406">
        <v>0</v>
      </c>
      <c r="F32" s="397">
        <f t="shared" si="5"/>
        <v>3358.3618641600001</v>
      </c>
      <c r="G32" s="461"/>
      <c r="H32" s="678"/>
      <c r="I32" s="678"/>
      <c r="J32" s="776"/>
      <c r="K32" s="545">
        <f t="shared" si="1"/>
        <v>0</v>
      </c>
    </row>
    <row r="33" spans="1:12" ht="12.75" customHeight="1" x14ac:dyDescent="0.25">
      <c r="A33" s="504">
        <v>25</v>
      </c>
      <c r="B33" s="500" t="s">
        <v>398</v>
      </c>
      <c r="C33" s="423">
        <v>665.07315800000003</v>
      </c>
      <c r="D33" s="397">
        <f t="shared" si="4"/>
        <v>5459.1492660303529</v>
      </c>
      <c r="E33" s="406">
        <v>0</v>
      </c>
      <c r="F33" s="397">
        <f t="shared" si="5"/>
        <v>5459.1492660303529</v>
      </c>
      <c r="G33" s="461"/>
      <c r="H33"/>
      <c r="I33"/>
      <c r="J33" s="19"/>
      <c r="K33" s="799">
        <f t="shared" si="1"/>
        <v>0</v>
      </c>
    </row>
    <row r="34" spans="1:12" ht="12.75" customHeight="1" x14ac:dyDescent="0.25">
      <c r="A34" s="504">
        <v>26</v>
      </c>
      <c r="B34" s="500" t="s">
        <v>469</v>
      </c>
      <c r="C34" s="423">
        <f>D34/$D$6</f>
        <v>1837.16335606297</v>
      </c>
      <c r="D34" s="397">
        <v>15080.068810759345</v>
      </c>
      <c r="E34" s="406">
        <v>0</v>
      </c>
      <c r="F34" s="397">
        <f t="shared" si="5"/>
        <v>15080.068810759345</v>
      </c>
      <c r="G34" s="461"/>
      <c r="H34" s="842"/>
      <c r="I34" s="843"/>
      <c r="J34" s="844"/>
      <c r="K34" s="799">
        <f t="shared" si="1"/>
        <v>0</v>
      </c>
    </row>
    <row r="35" spans="1:12" ht="12.75" customHeight="1" x14ac:dyDescent="0.2">
      <c r="A35" s="505">
        <v>26</v>
      </c>
      <c r="B35" s="499" t="s">
        <v>399</v>
      </c>
      <c r="C35" s="537">
        <f>SUM(C20:C31)-C32-C33-C34</f>
        <v>102410.62248593703</v>
      </c>
      <c r="D35" s="413">
        <f>SUM(D20:D31)-D32-D33-D34</f>
        <v>840621.61861870624</v>
      </c>
      <c r="E35" s="413">
        <f>SUM(E20:E31)-E32-E33-E34</f>
        <v>0</v>
      </c>
      <c r="F35" s="413">
        <f>SUM(F20:F31)-F32-F33-F34</f>
        <v>840621.61861870624</v>
      </c>
      <c r="G35" s="461"/>
      <c r="H35" s="861"/>
      <c r="I35" s="861"/>
      <c r="J35" s="862"/>
      <c r="K35" s="799">
        <f t="shared" si="1"/>
        <v>0</v>
      </c>
    </row>
    <row r="36" spans="1:12" ht="12.75" x14ac:dyDescent="0.2">
      <c r="A36" s="508"/>
      <c r="B36" s="487" t="s">
        <v>139</v>
      </c>
      <c r="C36" s="488" t="s">
        <v>99</v>
      </c>
      <c r="D36" s="488" t="s">
        <v>99</v>
      </c>
      <c r="E36" s="488"/>
      <c r="F36" s="489" t="s">
        <v>99</v>
      </c>
      <c r="G36" s="461"/>
      <c r="H36" s="863" t="s">
        <v>956</v>
      </c>
      <c r="I36" s="864">
        <v>840621.63</v>
      </c>
      <c r="J36" s="864">
        <f>+F35-F27-F27</f>
        <v>840621.61861870624</v>
      </c>
      <c r="K36" s="799"/>
    </row>
    <row r="37" spans="1:12" ht="12" customHeight="1" x14ac:dyDescent="0.2">
      <c r="A37" s="509">
        <v>27</v>
      </c>
      <c r="B37" s="424" t="s">
        <v>140</v>
      </c>
      <c r="C37" s="400">
        <f>C25</f>
        <v>7252.03</v>
      </c>
      <c r="D37" s="397">
        <f>C37*D$6</f>
        <v>59527.156938319997</v>
      </c>
      <c r="E37" s="416">
        <v>0</v>
      </c>
      <c r="F37" s="397">
        <f>D37+E37</f>
        <v>59527.156938319997</v>
      </c>
      <c r="G37" s="461"/>
      <c r="H37" s="863" t="s">
        <v>957</v>
      </c>
      <c r="I37" s="864">
        <v>10467.119275500467</v>
      </c>
      <c r="J37" s="865">
        <f>+F31</f>
        <v>10467.107893576002</v>
      </c>
      <c r="K37" s="799">
        <f t="shared" si="1"/>
        <v>0</v>
      </c>
    </row>
    <row r="38" spans="1:12" ht="12" customHeight="1" x14ac:dyDescent="0.2">
      <c r="A38" s="510">
        <v>28</v>
      </c>
      <c r="B38" s="424" t="s">
        <v>141</v>
      </c>
      <c r="C38" s="400">
        <f>C43</f>
        <v>7503.6791830361872</v>
      </c>
      <c r="D38" s="397">
        <f>'GASTOS Y COMISIONES DE COBRANZA'!F14</f>
        <v>61592.779999999992</v>
      </c>
      <c r="E38" s="416">
        <v>0</v>
      </c>
      <c r="F38" s="397">
        <f>D38+E38</f>
        <v>61592.779999999992</v>
      </c>
      <c r="G38" s="461"/>
      <c r="H38" s="863" t="s">
        <v>958</v>
      </c>
      <c r="I38" s="866">
        <f>+I36-I37</f>
        <v>830154.51072449959</v>
      </c>
      <c r="J38" s="864">
        <f>+J36-J37</f>
        <v>830154.51072513021</v>
      </c>
      <c r="K38" s="799">
        <f t="shared" si="1"/>
        <v>0</v>
      </c>
      <c r="L38" s="380"/>
    </row>
    <row r="39" spans="1:12" ht="12.75" customHeight="1" x14ac:dyDescent="0.2">
      <c r="A39" s="510">
        <v>29</v>
      </c>
      <c r="B39" s="395" t="s">
        <v>142</v>
      </c>
      <c r="C39" s="397">
        <v>0</v>
      </c>
      <c r="D39" s="397">
        <f>C39*D$6</f>
        <v>0</v>
      </c>
      <c r="E39" s="397">
        <v>0</v>
      </c>
      <c r="F39" s="397">
        <f>D39+E39</f>
        <v>0</v>
      </c>
      <c r="G39" s="461"/>
      <c r="H39" s="863" t="s">
        <v>959</v>
      </c>
      <c r="I39" s="864"/>
      <c r="J39" s="867">
        <f>+F33</f>
        <v>5459.1492660303529</v>
      </c>
      <c r="K39" s="799">
        <f t="shared" si="1"/>
        <v>0</v>
      </c>
      <c r="L39" s="380"/>
    </row>
    <row r="40" spans="1:12" ht="12.75" x14ac:dyDescent="0.2">
      <c r="A40" s="510">
        <v>30</v>
      </c>
      <c r="B40" s="395" t="s">
        <v>143</v>
      </c>
      <c r="C40" s="400">
        <f>C38</f>
        <v>7503.6791830361872</v>
      </c>
      <c r="D40" s="397">
        <f>C40*D$6</f>
        <v>61592.779999999992</v>
      </c>
      <c r="E40" s="416">
        <v>0</v>
      </c>
      <c r="F40" s="397">
        <f>D40+E40</f>
        <v>61592.779999999992</v>
      </c>
      <c r="G40" s="461"/>
      <c r="H40" s="863" t="s">
        <v>960</v>
      </c>
      <c r="I40" s="867">
        <v>835613.65999116085</v>
      </c>
      <c r="J40" s="867">
        <f>+J38+J39</f>
        <v>835613.65999116062</v>
      </c>
      <c r="K40" s="799">
        <f t="shared" si="1"/>
        <v>0</v>
      </c>
      <c r="L40" s="45"/>
    </row>
    <row r="41" spans="1:12" ht="12.75" x14ac:dyDescent="0.2">
      <c r="A41" s="510">
        <v>31</v>
      </c>
      <c r="B41" s="395" t="s">
        <v>144</v>
      </c>
      <c r="C41" s="425">
        <f>C37-C40</f>
        <v>-251.64918303618742</v>
      </c>
      <c r="D41" s="425">
        <f>C41*D$6</f>
        <v>-2065.6230616799908</v>
      </c>
      <c r="E41" s="425">
        <v>0</v>
      </c>
      <c r="F41" s="425">
        <f>D41+E41</f>
        <v>-2065.6230616799908</v>
      </c>
      <c r="G41" s="461"/>
      <c r="H41" s="863" t="s">
        <v>961</v>
      </c>
      <c r="I41" s="868"/>
      <c r="J41" s="867">
        <f>+I40-J40</f>
        <v>0</v>
      </c>
      <c r="K41" s="799">
        <f t="shared" si="1"/>
        <v>0</v>
      </c>
    </row>
    <row r="42" spans="1:12" ht="12.75" customHeight="1" x14ac:dyDescent="0.25">
      <c r="A42" s="511"/>
      <c r="B42" s="487" t="s">
        <v>145</v>
      </c>
      <c r="C42" s="488" t="s">
        <v>99</v>
      </c>
      <c r="D42" s="488" t="s">
        <v>99</v>
      </c>
      <c r="E42" s="488"/>
      <c r="F42" s="489"/>
      <c r="G42" s="461"/>
      <c r="H42" s="869"/>
      <c r="I42" s="869"/>
      <c r="J42" s="869"/>
      <c r="K42" s="799"/>
    </row>
    <row r="43" spans="1:12" ht="12.75" customHeight="1" x14ac:dyDescent="0.25">
      <c r="A43" s="510">
        <v>32</v>
      </c>
      <c r="B43" s="426" t="s">
        <v>146</v>
      </c>
      <c r="C43" s="406">
        <f>+D43/D6</f>
        <v>7503.6791830361872</v>
      </c>
      <c r="D43" s="397">
        <f>+'GASTOS Y COMISIONES DE COBRANZA'!F14</f>
        <v>61592.779999999992</v>
      </c>
      <c r="E43" s="427">
        <v>0</v>
      </c>
      <c r="F43" s="427">
        <f>D43+E43</f>
        <v>61592.779999999992</v>
      </c>
      <c r="G43" s="461"/>
      <c r="H43" s="842"/>
      <c r="I43" s="844"/>
      <c r="J43" s="844"/>
      <c r="K43" s="799">
        <f t="shared" si="1"/>
        <v>0</v>
      </c>
      <c r="L43" s="545">
        <f>D43-'GASTOS Y COMISIONES DE COBRANZA'!$F$14</f>
        <v>0</v>
      </c>
    </row>
    <row r="44" spans="1:12" ht="15" x14ac:dyDescent="0.25">
      <c r="A44" s="510">
        <v>33</v>
      </c>
      <c r="B44" s="426" t="s">
        <v>147</v>
      </c>
      <c r="C44" s="406">
        <f>+D44/D6</f>
        <v>4003.5261680066028</v>
      </c>
      <c r="D44" s="397">
        <f>'GASTOS Y COMISIONES DE COBRANZA'!$F$11</f>
        <v>32862.319999999992</v>
      </c>
      <c r="E44" s="428">
        <v>0</v>
      </c>
      <c r="F44" s="427">
        <f>D44+E44</f>
        <v>32862.319999999992</v>
      </c>
      <c r="G44" s="461"/>
      <c r="H44" s="842"/>
      <c r="I44" s="844"/>
      <c r="J44" s="844"/>
      <c r="K44" s="799">
        <f t="shared" si="1"/>
        <v>0</v>
      </c>
      <c r="L44" s="545" t="b">
        <f>F44='GASTOS Y COMISIONES DE COBRANZA'!$F$11</f>
        <v>1</v>
      </c>
    </row>
    <row r="45" spans="1:12" ht="15" x14ac:dyDescent="0.25">
      <c r="A45" s="510">
        <v>34</v>
      </c>
      <c r="B45" s="429" t="s">
        <v>148</v>
      </c>
      <c r="C45" s="406">
        <f>D45/$D$6</f>
        <v>5686.5794123638052</v>
      </c>
      <c r="D45" s="397">
        <f>+'GASTOS Y COMISIONES DE COBRANZA'!F5</f>
        <v>46677.399999999965</v>
      </c>
      <c r="E45" s="430">
        <v>0</v>
      </c>
      <c r="F45" s="427">
        <f>D45+E45</f>
        <v>46677.399999999965</v>
      </c>
      <c r="G45" s="461"/>
      <c r="H45" s="20"/>
      <c r="I45"/>
      <c r="J45"/>
      <c r="K45" s="799">
        <f t="shared" si="1"/>
        <v>0</v>
      </c>
      <c r="L45" s="545" t="b">
        <f>F45='GASTOS Y COMISIONES DE COBRANZA'!$F$5</f>
        <v>1</v>
      </c>
    </row>
    <row r="46" spans="1:12" ht="15" x14ac:dyDescent="0.25">
      <c r="A46" s="510">
        <v>35</v>
      </c>
      <c r="B46" s="431" t="s">
        <v>962</v>
      </c>
      <c r="C46" s="406">
        <f t="shared" ref="C46:C47" si="6">D46/$D$6</f>
        <v>0</v>
      </c>
      <c r="D46" s="397">
        <f>+'GASTOS Y COMISIONES DE COBRANZA'!F19</f>
        <v>0</v>
      </c>
      <c r="E46" s="428">
        <v>0</v>
      </c>
      <c r="F46" s="427">
        <f t="shared" ref="F46:F48" si="7">D46+E46</f>
        <v>0</v>
      </c>
      <c r="G46" s="461"/>
      <c r="H46" s="20"/>
      <c r="I46"/>
      <c r="J46"/>
      <c r="K46" s="799">
        <f t="shared" si="1"/>
        <v>0</v>
      </c>
    </row>
    <row r="47" spans="1:12" ht="15" x14ac:dyDescent="0.25">
      <c r="A47" s="510">
        <v>36</v>
      </c>
      <c r="B47" s="431" t="s">
        <v>134</v>
      </c>
      <c r="C47" s="406">
        <f t="shared" si="6"/>
        <v>0</v>
      </c>
      <c r="D47" s="397">
        <v>0</v>
      </c>
      <c r="E47" s="428">
        <v>0</v>
      </c>
      <c r="F47" s="427">
        <f t="shared" si="7"/>
        <v>0</v>
      </c>
      <c r="G47" s="461"/>
      <c r="H47" s="20"/>
      <c r="I47"/>
      <c r="J47"/>
      <c r="K47" s="545">
        <f t="shared" si="1"/>
        <v>0</v>
      </c>
    </row>
    <row r="48" spans="1:12" ht="15" x14ac:dyDescent="0.25">
      <c r="A48" s="510">
        <v>37</v>
      </c>
      <c r="B48" s="431" t="s">
        <v>1023</v>
      </c>
      <c r="C48" s="428">
        <f t="shared" ref="C48:C53" si="8">D48/$D$6</f>
        <v>0</v>
      </c>
      <c r="D48" s="397">
        <v>0</v>
      </c>
      <c r="E48" s="428">
        <v>0</v>
      </c>
      <c r="F48" s="427">
        <f t="shared" si="7"/>
        <v>0</v>
      </c>
      <c r="G48" s="461"/>
      <c r="H48" s="767"/>
      <c r="I48"/>
      <c r="J48"/>
      <c r="K48" s="545">
        <f t="shared" si="1"/>
        <v>0</v>
      </c>
    </row>
    <row r="49" spans="1:12" ht="15" x14ac:dyDescent="0.25">
      <c r="A49" s="510">
        <v>38</v>
      </c>
      <c r="B49" s="426" t="s">
        <v>149</v>
      </c>
      <c r="C49" s="428">
        <f t="shared" si="8"/>
        <v>938.92751083531573</v>
      </c>
      <c r="D49" s="397">
        <f>+'GASTOS Y COMISIONES DE COBRANZA'!F20</f>
        <v>7707.0399999999991</v>
      </c>
      <c r="E49" s="428">
        <v>0</v>
      </c>
      <c r="F49" s="427">
        <f>+D49+E49</f>
        <v>7707.0399999999991</v>
      </c>
      <c r="G49" s="461"/>
      <c r="H49" s="767"/>
      <c r="I49"/>
      <c r="J49" s="19"/>
      <c r="K49" s="545">
        <f t="shared" si="1"/>
        <v>0</v>
      </c>
      <c r="L49" s="545" t="b">
        <f>F49='GASTOS Y COMISIONES DE COBRANZA'!$F$20</f>
        <v>1</v>
      </c>
    </row>
    <row r="50" spans="1:12" ht="15" x14ac:dyDescent="0.25">
      <c r="A50" s="510">
        <v>38.1</v>
      </c>
      <c r="B50" s="426" t="s">
        <v>521</v>
      </c>
      <c r="C50" s="428">
        <f t="shared" si="8"/>
        <v>0</v>
      </c>
      <c r="D50" s="397">
        <f>+'GASTOS Y COMISIONES DE COBRANZA'!F25</f>
        <v>0</v>
      </c>
      <c r="E50" s="428">
        <v>0</v>
      </c>
      <c r="F50" s="427">
        <f>+D50+E50</f>
        <v>0</v>
      </c>
      <c r="G50" s="461"/>
      <c r="H50" s="767"/>
      <c r="I50"/>
      <c r="J50"/>
      <c r="K50" s="545">
        <f t="shared" si="1"/>
        <v>0</v>
      </c>
    </row>
    <row r="51" spans="1:12" ht="15" x14ac:dyDescent="0.25">
      <c r="A51" s="510"/>
      <c r="B51" s="426" t="s">
        <v>963</v>
      </c>
      <c r="C51" s="428">
        <f t="shared" si="8"/>
        <v>868.64902348147211</v>
      </c>
      <c r="D51" s="397">
        <f>+'GASTOS Y COMISIONES DE COBRANZA'!F21</f>
        <v>7130.170000000001</v>
      </c>
      <c r="E51" s="428">
        <v>0</v>
      </c>
      <c r="F51" s="427">
        <f t="shared" ref="F51:F52" si="9">+D51+E51</f>
        <v>7130.170000000001</v>
      </c>
      <c r="G51" s="461"/>
      <c r="H51" s="767"/>
      <c r="I51"/>
      <c r="J51"/>
      <c r="K51" s="545"/>
    </row>
    <row r="52" spans="1:12" ht="15" x14ac:dyDescent="0.25">
      <c r="A52" s="510"/>
      <c r="B52" s="426" t="s">
        <v>964</v>
      </c>
      <c r="C52" s="428">
        <f t="shared" si="8"/>
        <v>0</v>
      </c>
      <c r="D52" s="397">
        <f>+'GASTOS Y COMISIONES DE COBRANZA'!F26</f>
        <v>0</v>
      </c>
      <c r="E52" s="428">
        <v>0</v>
      </c>
      <c r="F52" s="427">
        <f t="shared" si="9"/>
        <v>0</v>
      </c>
      <c r="G52" s="461"/>
      <c r="H52" s="767"/>
      <c r="I52"/>
      <c r="J52"/>
      <c r="K52" s="545"/>
    </row>
    <row r="53" spans="1:12" ht="15" x14ac:dyDescent="0.25">
      <c r="A53" s="510">
        <v>39</v>
      </c>
      <c r="B53" s="415" t="s">
        <v>150</v>
      </c>
      <c r="C53" s="406">
        <f t="shared" si="8"/>
        <v>3758.3049638270522</v>
      </c>
      <c r="D53" s="397">
        <f>'GASTOS Y COMISIONES DE COBRANZA'!$F$15</f>
        <v>30849.460000000003</v>
      </c>
      <c r="E53" s="406">
        <v>0</v>
      </c>
      <c r="F53" s="397">
        <f>D53+E53</f>
        <v>30849.460000000003</v>
      </c>
      <c r="G53" s="461"/>
      <c r="H53" s="767"/>
      <c r="I53"/>
      <c r="J53"/>
      <c r="K53" s="545">
        <f t="shared" si="1"/>
        <v>0</v>
      </c>
      <c r="L53" s="545" t="b">
        <f>F53='GASTOS Y COMISIONES DE COBRANZA'!F15</f>
        <v>1</v>
      </c>
    </row>
    <row r="54" spans="1:12" ht="15" customHeight="1" x14ac:dyDescent="0.25">
      <c r="A54" s="512">
        <v>40</v>
      </c>
      <c r="B54" s="412" t="s">
        <v>151</v>
      </c>
      <c r="C54" s="413">
        <f>SUM(C43:C53)</f>
        <v>22759.666261550436</v>
      </c>
      <c r="D54" s="413">
        <f>SUM(D43:D53)</f>
        <v>186819.16999999995</v>
      </c>
      <c r="E54" s="413">
        <f>SUM(E43:E53)</f>
        <v>0</v>
      </c>
      <c r="F54" s="413">
        <f>SUM(F43:F53)</f>
        <v>186819.16999999995</v>
      </c>
      <c r="G54" s="461"/>
      <c r="H54" s="767"/>
      <c r="I54"/>
      <c r="J54"/>
      <c r="K54" s="545">
        <f t="shared" si="1"/>
        <v>0</v>
      </c>
    </row>
    <row r="55" spans="1:12" ht="15" customHeight="1" x14ac:dyDescent="0.25">
      <c r="A55" s="511"/>
      <c r="B55" s="487" t="s">
        <v>152</v>
      </c>
      <c r="C55" s="488" t="s">
        <v>99</v>
      </c>
      <c r="D55" s="488" t="s">
        <v>99</v>
      </c>
      <c r="E55" s="488"/>
      <c r="F55" s="488" t="s">
        <v>99</v>
      </c>
      <c r="G55" s="461"/>
      <c r="H55" s="639"/>
      <c r="I55"/>
      <c r="J55"/>
      <c r="K55" s="545"/>
    </row>
    <row r="56" spans="1:12" ht="12" customHeight="1" x14ac:dyDescent="0.25">
      <c r="A56" s="510">
        <v>41</v>
      </c>
      <c r="B56" s="395" t="s">
        <v>153</v>
      </c>
      <c r="C56" s="400">
        <f>+C26</f>
        <v>6660.74</v>
      </c>
      <c r="D56" s="406">
        <f>+D26</f>
        <v>54673.645214559998</v>
      </c>
      <c r="E56" s="400">
        <f>+E26</f>
        <v>0</v>
      </c>
      <c r="F56" s="397">
        <f>D56+E56</f>
        <v>54673.645214559998</v>
      </c>
      <c r="G56" s="461"/>
      <c r="H56"/>
      <c r="I56"/>
      <c r="J56"/>
      <c r="K56" s="545">
        <f t="shared" si="1"/>
        <v>0</v>
      </c>
    </row>
    <row r="57" spans="1:12" ht="15" customHeight="1" x14ac:dyDescent="0.25">
      <c r="A57" s="510">
        <v>42</v>
      </c>
      <c r="B57" s="426" t="s">
        <v>147</v>
      </c>
      <c r="C57" s="406">
        <f>+C44</f>
        <v>4003.5261680066028</v>
      </c>
      <c r="D57" s="406">
        <f>+D44</f>
        <v>32862.319999999992</v>
      </c>
      <c r="E57" s="406">
        <f>+E44</f>
        <v>0</v>
      </c>
      <c r="F57" s="397">
        <f>D57+E57</f>
        <v>32862.319999999992</v>
      </c>
      <c r="G57" s="461"/>
      <c r="H57"/>
      <c r="I57"/>
      <c r="J57"/>
      <c r="K57" s="545">
        <f t="shared" si="1"/>
        <v>0</v>
      </c>
    </row>
    <row r="58" spans="1:12" ht="15" customHeight="1" x14ac:dyDescent="0.25">
      <c r="A58" s="512">
        <v>43</v>
      </c>
      <c r="B58" s="412" t="s">
        <v>154</v>
      </c>
      <c r="C58" s="413">
        <f>+C56-C57</f>
        <v>2657.213831993397</v>
      </c>
      <c r="D58" s="413">
        <f>+D56-D57</f>
        <v>21811.325214560005</v>
      </c>
      <c r="E58" s="413">
        <f>+E56-E57</f>
        <v>0</v>
      </c>
      <c r="F58" s="413">
        <f>+F56-F57</f>
        <v>21811.325214560005</v>
      </c>
      <c r="G58" s="461"/>
      <c r="H58"/>
      <c r="I58"/>
      <c r="J58"/>
      <c r="K58" s="545">
        <f t="shared" si="1"/>
        <v>0</v>
      </c>
    </row>
    <row r="59" spans="1:12" ht="12" customHeight="1" x14ac:dyDescent="0.25">
      <c r="A59" s="511"/>
      <c r="B59" s="487" t="s">
        <v>155</v>
      </c>
      <c r="C59" s="488" t="s">
        <v>99</v>
      </c>
      <c r="D59" s="488" t="s">
        <v>99</v>
      </c>
      <c r="E59" s="488"/>
      <c r="F59" s="488" t="s">
        <v>99</v>
      </c>
      <c r="G59" s="461"/>
      <c r="H59"/>
      <c r="I59"/>
      <c r="J59"/>
      <c r="K59" s="545"/>
    </row>
    <row r="60" spans="1:12" ht="12.75" customHeight="1" x14ac:dyDescent="0.25">
      <c r="A60" s="510">
        <v>44</v>
      </c>
      <c r="B60" s="395" t="s">
        <v>399</v>
      </c>
      <c r="C60" s="406">
        <f>+C35</f>
        <v>102410.62248593703</v>
      </c>
      <c r="D60" s="406">
        <f>C60*$D$6</f>
        <v>840621.61861870636</v>
      </c>
      <c r="E60" s="406">
        <f>+E35</f>
        <v>0</v>
      </c>
      <c r="F60" s="406">
        <f>+F35</f>
        <v>840621.61861870624</v>
      </c>
      <c r="G60" s="461"/>
      <c r="H60"/>
      <c r="I60"/>
      <c r="J60"/>
      <c r="K60" s="545">
        <f t="shared" si="1"/>
        <v>0</v>
      </c>
    </row>
    <row r="61" spans="1:12" ht="12.75" customHeight="1" x14ac:dyDescent="0.25">
      <c r="A61" s="510">
        <v>45</v>
      </c>
      <c r="B61" s="426" t="s">
        <v>156</v>
      </c>
      <c r="C61" s="406">
        <f>+C54</f>
        <v>22759.666261550436</v>
      </c>
      <c r="D61" s="406">
        <f>C61*$D$6</f>
        <v>186819.16999999995</v>
      </c>
      <c r="E61" s="406">
        <f>+E54</f>
        <v>0</v>
      </c>
      <c r="F61" s="406">
        <f>+F54</f>
        <v>186819.16999999995</v>
      </c>
      <c r="G61" s="461"/>
      <c r="H61" s="678"/>
      <c r="I61" s="678"/>
      <c r="J61" s="678"/>
      <c r="K61" s="545">
        <f t="shared" si="1"/>
        <v>0</v>
      </c>
    </row>
    <row r="62" spans="1:12" ht="12.75" customHeight="1" x14ac:dyDescent="0.25">
      <c r="A62" s="510">
        <v>46</v>
      </c>
      <c r="B62" s="395" t="s">
        <v>136</v>
      </c>
      <c r="C62" s="397">
        <f>+C31</f>
        <v>1275.1790000000001</v>
      </c>
      <c r="D62" s="397">
        <f>C62*$D$6</f>
        <v>10467.107893576002</v>
      </c>
      <c r="E62" s="397">
        <f>+E31</f>
        <v>0</v>
      </c>
      <c r="F62" s="397">
        <f>D62+E62</f>
        <v>10467.107893576002</v>
      </c>
      <c r="G62" s="461"/>
      <c r="H62" s="678"/>
      <c r="I62" s="678"/>
      <c r="J62" s="678"/>
      <c r="K62" s="545">
        <f t="shared" si="1"/>
        <v>0</v>
      </c>
    </row>
    <row r="63" spans="1:12" ht="12.75" customHeight="1" x14ac:dyDescent="0.25">
      <c r="A63" s="510">
        <v>47</v>
      </c>
      <c r="B63" s="395" t="s">
        <v>132</v>
      </c>
      <c r="C63" s="400">
        <f>+C27</f>
        <v>0</v>
      </c>
      <c r="D63" s="397">
        <f>C63*$D$6</f>
        <v>0</v>
      </c>
      <c r="E63" s="406">
        <f>E27</f>
        <v>0</v>
      </c>
      <c r="F63" s="397">
        <f>D63+E63</f>
        <v>0</v>
      </c>
      <c r="G63" s="461"/>
      <c r="H63" s="678"/>
      <c r="I63" s="678"/>
      <c r="J63" s="678"/>
      <c r="K63" s="545">
        <f t="shared" si="1"/>
        <v>0</v>
      </c>
    </row>
    <row r="64" spans="1:12" ht="12.75" customHeight="1" x14ac:dyDescent="0.25">
      <c r="A64" s="510">
        <v>48</v>
      </c>
      <c r="B64" s="395" t="s">
        <v>137</v>
      </c>
      <c r="C64" s="406">
        <f>D64/$D$6</f>
        <v>665.07315800000003</v>
      </c>
      <c r="D64" s="397">
        <f>D33</f>
        <v>5459.1492660303529</v>
      </c>
      <c r="E64" s="406">
        <f>E33</f>
        <v>0</v>
      </c>
      <c r="F64" s="406">
        <f>SUM(D64:E64)</f>
        <v>5459.1492660303529</v>
      </c>
      <c r="G64" s="461"/>
      <c r="H64" s="776"/>
      <c r="I64" s="776"/>
      <c r="J64" s="678"/>
      <c r="K64" s="545">
        <f t="shared" si="1"/>
        <v>0</v>
      </c>
    </row>
    <row r="65" spans="1:13" ht="12.75" customHeight="1" x14ac:dyDescent="0.25">
      <c r="A65" s="513">
        <v>49</v>
      </c>
      <c r="B65" s="395" t="s">
        <v>390</v>
      </c>
      <c r="C65" s="406">
        <f>D65/D6</f>
        <v>0</v>
      </c>
      <c r="D65" s="406">
        <v>0</v>
      </c>
      <c r="E65" s="406">
        <v>0</v>
      </c>
      <c r="F65" s="406">
        <f>D65</f>
        <v>0</v>
      </c>
      <c r="G65" s="461"/>
      <c r="H65" s="678"/>
      <c r="I65" s="776"/>
      <c r="J65" s="678"/>
      <c r="K65" s="545">
        <f t="shared" si="1"/>
        <v>0</v>
      </c>
    </row>
    <row r="66" spans="1:13" ht="12.75" customHeight="1" x14ac:dyDescent="0.25">
      <c r="A66" s="513">
        <v>50</v>
      </c>
      <c r="B66" s="409" t="s">
        <v>444</v>
      </c>
      <c r="C66" s="406">
        <f t="shared" ref="C66" si="10">D66/$D$6</f>
        <v>0</v>
      </c>
      <c r="D66" s="531">
        <v>0</v>
      </c>
      <c r="E66" s="406">
        <v>0</v>
      </c>
      <c r="F66" s="397">
        <f>D66+E66</f>
        <v>0</v>
      </c>
      <c r="G66" s="461"/>
      <c r="H66" s="678"/>
      <c r="I66" s="678"/>
      <c r="J66" s="678"/>
      <c r="K66" s="545">
        <f t="shared" si="1"/>
        <v>0</v>
      </c>
    </row>
    <row r="67" spans="1:13" ht="12" customHeight="1" x14ac:dyDescent="0.25">
      <c r="A67" s="512">
        <v>51</v>
      </c>
      <c r="B67" s="412" t="s">
        <v>157</v>
      </c>
      <c r="C67" s="413">
        <f>C60-C61-C62-C63+C64+C65+C66</f>
        <v>79040.85038238659</v>
      </c>
      <c r="D67" s="413">
        <f>D60-D61-D62-D63+D64+D65+D66</f>
        <v>648794.48999116081</v>
      </c>
      <c r="E67" s="413">
        <f t="shared" ref="E67" si="11">E60-E61-E62-E63+E64+E65+E66</f>
        <v>0</v>
      </c>
      <c r="F67" s="413">
        <f>F60-F61-F62-F63+F64+F65+F66</f>
        <v>648794.48999116069</v>
      </c>
      <c r="G67" s="461"/>
      <c r="H67" s="776"/>
      <c r="I67" s="678"/>
      <c r="J67" s="678"/>
      <c r="K67" s="545">
        <f t="shared" si="1"/>
        <v>0</v>
      </c>
    </row>
    <row r="68" spans="1:13" s="379" customFormat="1" ht="15" x14ac:dyDescent="0.25">
      <c r="A68" s="510">
        <v>52</v>
      </c>
      <c r="B68" s="433" t="s">
        <v>196</v>
      </c>
      <c r="C68" s="406"/>
      <c r="D68" s="406"/>
      <c r="E68" s="406"/>
      <c r="F68" s="406">
        <f>D68</f>
        <v>0</v>
      </c>
      <c r="G68" s="461"/>
      <c r="H68" s="776"/>
      <c r="I68" s="678"/>
      <c r="J68" s="678"/>
      <c r="K68" s="545">
        <f t="shared" si="1"/>
        <v>0</v>
      </c>
    </row>
    <row r="69" spans="1:13" s="379" customFormat="1" ht="12.75" x14ac:dyDescent="0.2">
      <c r="A69" s="512">
        <v>53</v>
      </c>
      <c r="B69" s="412" t="s">
        <v>157</v>
      </c>
      <c r="C69" s="434">
        <f>C67+C68</f>
        <v>79040.85038238659</v>
      </c>
      <c r="D69" s="434">
        <f>D67+D68</f>
        <v>648794.48999116081</v>
      </c>
      <c r="E69" s="434">
        <v>0</v>
      </c>
      <c r="F69" s="434">
        <f>F67+F68</f>
        <v>648794.48999116069</v>
      </c>
      <c r="G69" s="461"/>
      <c r="H69" s="870">
        <v>648794.48999116069</v>
      </c>
      <c r="I69" s="871">
        <f>+G69-H69</f>
        <v>-648794.48999116069</v>
      </c>
      <c r="J69" s="785"/>
      <c r="K69" s="545">
        <f t="shared" si="1"/>
        <v>0</v>
      </c>
    </row>
    <row r="70" spans="1:13" ht="51" x14ac:dyDescent="0.2">
      <c r="A70" s="514"/>
      <c r="B70" s="524" t="s">
        <v>158</v>
      </c>
      <c r="C70" s="524" t="s">
        <v>159</v>
      </c>
      <c r="D70" s="524" t="s">
        <v>160</v>
      </c>
      <c r="E70" s="524" t="s">
        <v>161</v>
      </c>
      <c r="F70" s="524" t="s">
        <v>162</v>
      </c>
      <c r="G70" s="525" t="s">
        <v>163</v>
      </c>
      <c r="H70" s="461"/>
      <c r="I70" s="447"/>
      <c r="J70" s="387"/>
    </row>
    <row r="71" spans="1:13" ht="12.75" x14ac:dyDescent="0.2">
      <c r="A71" s="513">
        <v>54</v>
      </c>
      <c r="B71" s="424" t="s">
        <v>164</v>
      </c>
      <c r="C71" s="435">
        <v>61</v>
      </c>
      <c r="D71" s="520">
        <f t="shared" ref="D71:D78" si="12">C71/C$79</f>
        <v>0.42657342657342656</v>
      </c>
      <c r="E71" s="436">
        <v>2055706.5</v>
      </c>
      <c r="F71" s="436">
        <v>2019264.05</v>
      </c>
      <c r="G71" s="522">
        <f t="shared" ref="G71:G78" si="13">F71/F$79</f>
        <v>0.25801704920331281</v>
      </c>
      <c r="H71" s="432"/>
      <c r="I71" s="447"/>
      <c r="J71" s="387"/>
    </row>
    <row r="72" spans="1:13" ht="12.75" x14ac:dyDescent="0.2">
      <c r="A72" s="513">
        <v>55</v>
      </c>
      <c r="B72" s="424" t="s">
        <v>165</v>
      </c>
      <c r="C72" s="438">
        <v>9</v>
      </c>
      <c r="D72" s="520">
        <f t="shared" si="12"/>
        <v>6.2937062937062943E-2</v>
      </c>
      <c r="E72" s="436">
        <v>320523.64</v>
      </c>
      <c r="F72" s="436">
        <v>316344.84000000003</v>
      </c>
      <c r="G72" s="522">
        <f t="shared" si="13"/>
        <v>4.0421836929892416E-2</v>
      </c>
      <c r="H72" s="432"/>
      <c r="I72" s="387"/>
      <c r="J72" s="387"/>
    </row>
    <row r="73" spans="1:13" ht="15" x14ac:dyDescent="0.25">
      <c r="A73" s="513">
        <v>56</v>
      </c>
      <c r="B73" s="424" t="s">
        <v>166</v>
      </c>
      <c r="C73" s="435">
        <v>1</v>
      </c>
      <c r="D73" s="520">
        <f t="shared" si="12"/>
        <v>6.993006993006993E-3</v>
      </c>
      <c r="E73" s="436">
        <v>44340.800000000003</v>
      </c>
      <c r="F73" s="436">
        <v>43994.97</v>
      </c>
      <c r="G73" s="522">
        <f t="shared" si="13"/>
        <v>5.6215789803162547E-3</v>
      </c>
      <c r="H73" s="546"/>
      <c r="I73" s="387"/>
      <c r="J73" s="387"/>
      <c r="K73" s="104"/>
    </row>
    <row r="74" spans="1:13" ht="12.75" x14ac:dyDescent="0.2">
      <c r="A74" s="513">
        <v>57</v>
      </c>
      <c r="B74" s="424" t="s">
        <v>167</v>
      </c>
      <c r="C74" s="435">
        <v>3</v>
      </c>
      <c r="D74" s="520">
        <f t="shared" si="12"/>
        <v>2.097902097902098E-2</v>
      </c>
      <c r="E74" s="436">
        <v>113234.98</v>
      </c>
      <c r="F74" s="436">
        <v>110727.88</v>
      </c>
      <c r="G74" s="522">
        <f t="shared" si="13"/>
        <v>1.4148561136488571E-2</v>
      </c>
      <c r="H74" s="443"/>
      <c r="I74" s="387"/>
      <c r="J74" s="387"/>
    </row>
    <row r="75" spans="1:13" ht="15" x14ac:dyDescent="0.25">
      <c r="A75" s="513">
        <v>58</v>
      </c>
      <c r="B75" s="424" t="s">
        <v>168</v>
      </c>
      <c r="C75" s="438">
        <v>5</v>
      </c>
      <c r="D75" s="520">
        <f t="shared" si="12"/>
        <v>3.4965034965034968E-2</v>
      </c>
      <c r="E75" s="436">
        <v>193712.76</v>
      </c>
      <c r="F75" s="436">
        <v>191021.29</v>
      </c>
      <c r="G75" s="522">
        <f t="shared" si="13"/>
        <v>2.4408273688035144E-2</v>
      </c>
      <c r="H75" s="387"/>
      <c r="I75" s="387"/>
      <c r="J75" s="387"/>
      <c r="K75" s="90"/>
    </row>
    <row r="76" spans="1:13" ht="12.75" x14ac:dyDescent="0.2">
      <c r="A76" s="513">
        <v>59</v>
      </c>
      <c r="B76" s="424" t="s">
        <v>169</v>
      </c>
      <c r="C76" s="438">
        <v>1</v>
      </c>
      <c r="D76" s="520">
        <f t="shared" si="12"/>
        <v>6.993006993006993E-3</v>
      </c>
      <c r="E76" s="436">
        <v>35422.230000000003</v>
      </c>
      <c r="F76" s="436">
        <v>35422.230000000003</v>
      </c>
      <c r="G76" s="522">
        <f t="shared" si="13"/>
        <v>4.5261734149137471E-3</v>
      </c>
      <c r="H76" s="577"/>
      <c r="I76" s="387"/>
      <c r="J76" s="387"/>
    </row>
    <row r="77" spans="1:13" ht="12.75" x14ac:dyDescent="0.2">
      <c r="A77" s="513">
        <v>60</v>
      </c>
      <c r="B77" s="424" t="s">
        <v>170</v>
      </c>
      <c r="C77" s="438">
        <v>0</v>
      </c>
      <c r="D77" s="520">
        <f t="shared" si="12"/>
        <v>0</v>
      </c>
      <c r="E77" s="436">
        <v>0</v>
      </c>
      <c r="F77" s="436">
        <v>0</v>
      </c>
      <c r="G77" s="522">
        <f t="shared" si="13"/>
        <v>0</v>
      </c>
      <c r="H77" s="577"/>
      <c r="I77" s="387"/>
      <c r="J77" s="387"/>
    </row>
    <row r="78" spans="1:13" ht="12.75" x14ac:dyDescent="0.2">
      <c r="A78" s="513">
        <v>61</v>
      </c>
      <c r="B78" s="424" t="s">
        <v>171</v>
      </c>
      <c r="C78" s="438">
        <v>63</v>
      </c>
      <c r="D78" s="520">
        <f t="shared" si="12"/>
        <v>0.44055944055944057</v>
      </c>
      <c r="E78" s="436">
        <v>5111020.57</v>
      </c>
      <c r="F78" s="436">
        <v>5109312.42</v>
      </c>
      <c r="G78" s="522">
        <f t="shared" si="13"/>
        <v>0.65285652664704108</v>
      </c>
      <c r="H78" s="577"/>
      <c r="I78" s="387"/>
      <c r="J78" s="387"/>
    </row>
    <row r="79" spans="1:13" ht="12.75" x14ac:dyDescent="0.2">
      <c r="A79" s="512">
        <v>62</v>
      </c>
      <c r="B79" s="439" t="s">
        <v>101</v>
      </c>
      <c r="C79" s="440">
        <f>SUM(C71:C78)</f>
        <v>143</v>
      </c>
      <c r="D79" s="521">
        <f>SUM(D71:D78)</f>
        <v>1</v>
      </c>
      <c r="E79" s="441">
        <f>SUM(E71:E78)</f>
        <v>7873961.4800000004</v>
      </c>
      <c r="F79" s="441">
        <f>SUM(F71:F78)</f>
        <v>7826087.6799999997</v>
      </c>
      <c r="G79" s="523">
        <f>SUM(G71:G78)</f>
        <v>1</v>
      </c>
      <c r="H79" s="787"/>
      <c r="I79" s="443"/>
      <c r="J79" s="387"/>
      <c r="K79" s="545">
        <f>C79-D95</f>
        <v>0</v>
      </c>
      <c r="L79" s="545">
        <f>E79-C8</f>
        <v>-0.46999999694526196</v>
      </c>
      <c r="M79" s="545">
        <f>F79-C13</f>
        <v>0</v>
      </c>
    </row>
    <row r="80" spans="1:13" ht="51" x14ac:dyDescent="0.2">
      <c r="A80" s="515"/>
      <c r="B80" s="524" t="s">
        <v>158</v>
      </c>
      <c r="C80" s="524" t="s">
        <v>172</v>
      </c>
      <c r="D80" s="524" t="s">
        <v>173</v>
      </c>
      <c r="E80" s="524" t="s">
        <v>174</v>
      </c>
      <c r="F80" s="524" t="s">
        <v>175</v>
      </c>
      <c r="G80" s="526" t="s">
        <v>176</v>
      </c>
      <c r="H80" s="525" t="s">
        <v>177</v>
      </c>
      <c r="I80" s="387"/>
      <c r="J80" s="387"/>
    </row>
    <row r="81" spans="1:12" ht="12.75" x14ac:dyDescent="0.2">
      <c r="A81" s="513">
        <v>63</v>
      </c>
      <c r="B81" s="415" t="s">
        <v>178</v>
      </c>
      <c r="C81" s="444">
        <f>SUM(C71:C74)</f>
        <v>74</v>
      </c>
      <c r="D81" s="444">
        <f>SUM(C75:C78)</f>
        <v>69</v>
      </c>
      <c r="E81" s="444">
        <f>SUM(C71:C77)</f>
        <v>80</v>
      </c>
      <c r="F81" s="444">
        <f>+C78</f>
        <v>63</v>
      </c>
      <c r="G81" s="444">
        <f>+C79</f>
        <v>143</v>
      </c>
      <c r="H81" s="759">
        <f>22+15-3-1+1-1+1-1-4+2-1-2-1+1-1-2+1+1+1+1+1-1+2+2+1+1-1+1-1+1-1+1+1+1+2-1+1-1-1-2-1+3+1-1+1-1+1-1-1</f>
        <v>36</v>
      </c>
      <c r="I81" s="387"/>
      <c r="J81" s="387"/>
      <c r="K81" s="545">
        <f>G81-C79</f>
        <v>0</v>
      </c>
      <c r="L81" s="545" t="b">
        <f>H81='EVENTOS RELEVANTES '!$F$93</f>
        <v>1</v>
      </c>
    </row>
    <row r="82" spans="1:12" ht="12.75" x14ac:dyDescent="0.2">
      <c r="A82" s="513">
        <v>64</v>
      </c>
      <c r="B82" s="395" t="s">
        <v>179</v>
      </c>
      <c r="C82" s="436">
        <f>SUM(F71:F74)</f>
        <v>2490331.7400000002</v>
      </c>
      <c r="D82" s="436">
        <f>SUM(F75:F78)</f>
        <v>5335755.9399999995</v>
      </c>
      <c r="E82" s="436">
        <f>SUM(F71:F77)</f>
        <v>2716775.2600000002</v>
      </c>
      <c r="F82" s="436">
        <f>+F78</f>
        <v>5109312.42</v>
      </c>
      <c r="G82" s="436">
        <f>+F79</f>
        <v>7826087.6799999997</v>
      </c>
      <c r="H82" s="758">
        <f>1846561.97+1657078.68-177273.21-245248.95+52272.67-49957.03+117863.82-54430.8-450571.4+146061.14-103947.34-143392.5-74654.82+96609.31-117863.82-133094.16+47543+75659.14+72590.64+48246.82+67664.72-84354.12+200301.75+150705.29+102999.64+44782.3-148364.59+96426.62-72039.7+98540.82-72590.64+74672.55+70789.73+69947.28+168522.69-51225.28+58520.34-102999.64-48246.82-183964.41-51912.71+192514.8+60904.26-125249.51+75368.37-47543+57799.01-69947.28-74974.54</f>
        <v>3067101.09</v>
      </c>
      <c r="I82" s="443"/>
      <c r="J82" s="387"/>
      <c r="K82" s="545">
        <f>G82-F79</f>
        <v>0</v>
      </c>
      <c r="L82" s="545" t="b">
        <f>H82='EVENTOS RELEVANTES '!$F$94</f>
        <v>1</v>
      </c>
    </row>
    <row r="83" spans="1:12" ht="12.75" x14ac:dyDescent="0.2">
      <c r="A83" s="513">
        <v>65</v>
      </c>
      <c r="B83" s="395" t="s">
        <v>180</v>
      </c>
      <c r="C83" s="446">
        <f>SUM(G71:G74)</f>
        <v>0.31820902625001002</v>
      </c>
      <c r="D83" s="446">
        <f>SUM(G75:G78)</f>
        <v>0.68179097374998998</v>
      </c>
      <c r="E83" s="446">
        <f>SUM(G71:G77)</f>
        <v>0.34714347335295892</v>
      </c>
      <c r="F83" s="446">
        <f>+G78</f>
        <v>0.65285652664704108</v>
      </c>
      <c r="G83" s="437">
        <f>+G79</f>
        <v>1</v>
      </c>
      <c r="H83" s="445" t="s">
        <v>99</v>
      </c>
      <c r="I83" s="447"/>
      <c r="J83" s="387"/>
    </row>
    <row r="84" spans="1:12" ht="12.75" x14ac:dyDescent="0.2">
      <c r="A84" s="513">
        <v>66</v>
      </c>
      <c r="B84" s="395" t="s">
        <v>181</v>
      </c>
      <c r="C84" s="436">
        <v>9251.07</v>
      </c>
      <c r="D84" s="436">
        <v>4713222.4837109996</v>
      </c>
      <c r="E84" s="436">
        <v>17483.63</v>
      </c>
      <c r="F84" s="448">
        <v>4704989.923711</v>
      </c>
      <c r="G84" s="436">
        <f>+E84+F84</f>
        <v>4722473.5537109999</v>
      </c>
      <c r="H84" s="449"/>
      <c r="I84" s="443"/>
      <c r="J84" s="387"/>
    </row>
    <row r="85" spans="1:12" ht="12.75" x14ac:dyDescent="0.2">
      <c r="A85" s="513">
        <v>67</v>
      </c>
      <c r="B85" s="395" t="s">
        <v>182</v>
      </c>
      <c r="C85" s="436">
        <v>33.049999999999997</v>
      </c>
      <c r="D85" s="406">
        <v>0</v>
      </c>
      <c r="E85" s="436">
        <v>33.049999999999997</v>
      </c>
      <c r="F85" s="450">
        <v>0</v>
      </c>
      <c r="G85" s="436">
        <f>+E85+F85</f>
        <v>33.049999999999997</v>
      </c>
      <c r="H85" s="449"/>
      <c r="I85" s="447"/>
      <c r="J85" s="387"/>
    </row>
    <row r="86" spans="1:12" ht="12" customHeight="1" x14ac:dyDescent="0.2">
      <c r="A86" s="513">
        <v>68</v>
      </c>
      <c r="B86" s="424" t="s">
        <v>183</v>
      </c>
      <c r="C86" s="436">
        <v>7476.16</v>
      </c>
      <c r="D86" s="436">
        <v>2164407.64</v>
      </c>
      <c r="E86" s="436">
        <v>13810.53</v>
      </c>
      <c r="F86" s="436">
        <v>2158073.27</v>
      </c>
      <c r="G86" s="436">
        <f>+E86+F86</f>
        <v>2171883.7999999998</v>
      </c>
      <c r="H86" s="449"/>
      <c r="I86" s="447"/>
      <c r="J86" s="387"/>
    </row>
    <row r="87" spans="1:12" ht="38.25" x14ac:dyDescent="0.2">
      <c r="A87" s="515"/>
      <c r="B87" s="491" t="s">
        <v>99</v>
      </c>
      <c r="C87" s="490" t="s">
        <v>99</v>
      </c>
      <c r="D87" s="490" t="s">
        <v>184</v>
      </c>
      <c r="E87" s="490" t="s">
        <v>185</v>
      </c>
      <c r="F87" s="490" t="s">
        <v>99</v>
      </c>
      <c r="G87" s="492" t="s">
        <v>99</v>
      </c>
      <c r="H87" s="493" t="s">
        <v>99</v>
      </c>
      <c r="I87" s="447"/>
      <c r="J87" s="387"/>
    </row>
    <row r="88" spans="1:12" ht="12.75" x14ac:dyDescent="0.2">
      <c r="A88" s="513">
        <v>69</v>
      </c>
      <c r="B88" s="424" t="s">
        <v>186</v>
      </c>
      <c r="C88" s="424" t="s">
        <v>99</v>
      </c>
      <c r="D88" s="444">
        <v>63</v>
      </c>
      <c r="E88" s="436">
        <v>4860385.33</v>
      </c>
      <c r="F88" s="449" t="s">
        <v>99</v>
      </c>
      <c r="G88" s="449" t="s">
        <v>99</v>
      </c>
      <c r="H88" s="449" t="s">
        <v>99</v>
      </c>
      <c r="I88" s="387"/>
      <c r="J88" s="443"/>
    </row>
    <row r="89" spans="1:12" ht="38.25" x14ac:dyDescent="0.2">
      <c r="A89" s="515"/>
      <c r="B89" s="491" t="s">
        <v>99</v>
      </c>
      <c r="C89" s="490" t="s">
        <v>99</v>
      </c>
      <c r="D89" s="490" t="s">
        <v>184</v>
      </c>
      <c r="E89" s="490" t="s">
        <v>185</v>
      </c>
      <c r="F89" s="490" t="s">
        <v>99</v>
      </c>
      <c r="G89" s="492" t="s">
        <v>99</v>
      </c>
      <c r="H89" s="493" t="s">
        <v>99</v>
      </c>
      <c r="I89" s="443"/>
      <c r="J89" s="387"/>
    </row>
    <row r="90" spans="1:12" ht="12.75" x14ac:dyDescent="0.2">
      <c r="A90" s="513">
        <v>70</v>
      </c>
      <c r="B90" s="395" t="s">
        <v>187</v>
      </c>
      <c r="C90" s="451" t="s">
        <v>99</v>
      </c>
      <c r="D90" s="444">
        <v>143</v>
      </c>
      <c r="E90" s="436">
        <f>I10</f>
        <v>7873961.9499999974</v>
      </c>
      <c r="F90" s="452"/>
      <c r="G90" s="453"/>
      <c r="H90" s="449" t="s">
        <v>99</v>
      </c>
      <c r="I90" s="387"/>
      <c r="J90" s="387"/>
      <c r="K90" s="545"/>
      <c r="L90" s="545">
        <f>E90-E79-I11</f>
        <v>0.46999999694526196</v>
      </c>
    </row>
    <row r="91" spans="1:12" ht="12.75" x14ac:dyDescent="0.2">
      <c r="A91" s="513">
        <v>71</v>
      </c>
      <c r="B91" s="395" t="s">
        <v>188</v>
      </c>
      <c r="C91" s="451" t="s">
        <v>99</v>
      </c>
      <c r="D91" s="444">
        <v>0</v>
      </c>
      <c r="E91" s="436">
        <v>0</v>
      </c>
      <c r="F91" s="452"/>
      <c r="G91" s="453"/>
      <c r="H91" s="449" t="s">
        <v>99</v>
      </c>
      <c r="I91" s="443"/>
      <c r="J91" s="387"/>
    </row>
    <row r="92" spans="1:12" ht="12.75" x14ac:dyDescent="0.2">
      <c r="A92" s="513">
        <v>72</v>
      </c>
      <c r="B92" s="395" t="s">
        <v>177</v>
      </c>
      <c r="C92" s="451" t="s">
        <v>99</v>
      </c>
      <c r="D92" s="454">
        <v>0</v>
      </c>
      <c r="E92" s="406">
        <f>C11</f>
        <v>0</v>
      </c>
      <c r="F92" s="452"/>
      <c r="G92" s="453"/>
      <c r="H92" s="449" t="s">
        <v>99</v>
      </c>
      <c r="I92" s="442"/>
      <c r="J92" s="387"/>
    </row>
    <row r="93" spans="1:12" ht="12.75" x14ac:dyDescent="0.2">
      <c r="A93" s="513">
        <v>73</v>
      </c>
      <c r="B93" s="395" t="s">
        <v>189</v>
      </c>
      <c r="C93" s="451" t="s">
        <v>99</v>
      </c>
      <c r="D93" s="454">
        <v>0</v>
      </c>
      <c r="E93" s="406">
        <f>+I12</f>
        <v>0</v>
      </c>
      <c r="F93" s="452"/>
      <c r="G93" s="453"/>
      <c r="H93" s="449" t="s">
        <v>99</v>
      </c>
      <c r="I93" s="387"/>
      <c r="J93" s="442"/>
    </row>
    <row r="94" spans="1:12" ht="12.75" x14ac:dyDescent="0.2">
      <c r="A94" s="513">
        <v>74</v>
      </c>
      <c r="B94" s="395" t="s">
        <v>190</v>
      </c>
      <c r="C94" s="455"/>
      <c r="D94" s="456">
        <v>0</v>
      </c>
      <c r="E94" s="428">
        <v>0</v>
      </c>
      <c r="F94" s="452"/>
      <c r="G94" s="453"/>
      <c r="H94" s="449" t="s">
        <v>99</v>
      </c>
      <c r="I94" s="387"/>
      <c r="J94" s="387"/>
    </row>
    <row r="95" spans="1:12" ht="12.75" x14ac:dyDescent="0.2">
      <c r="A95" s="513">
        <v>75</v>
      </c>
      <c r="B95" s="395" t="s">
        <v>191</v>
      </c>
      <c r="C95" s="457"/>
      <c r="D95" s="444">
        <f>+D90-D91-D94+D93-D92</f>
        <v>143</v>
      </c>
      <c r="E95" s="406">
        <f>C8-C9-C10-C11-E94+C12</f>
        <v>7826087.6799999997</v>
      </c>
      <c r="F95" s="452"/>
      <c r="G95" s="453"/>
      <c r="H95" s="449" t="s">
        <v>99</v>
      </c>
      <c r="I95" s="387"/>
      <c r="J95" s="387"/>
      <c r="K95" s="545" t="b">
        <f>D95=C79</f>
        <v>1</v>
      </c>
      <c r="L95" s="545">
        <f>E95-F79</f>
        <v>0</v>
      </c>
    </row>
    <row r="96" spans="1:12" ht="12.75" x14ac:dyDescent="0.2">
      <c r="A96" s="516"/>
      <c r="B96" s="494" t="s">
        <v>99</v>
      </c>
      <c r="C96" s="494" t="s">
        <v>99</v>
      </c>
      <c r="D96" s="494" t="s">
        <v>99</v>
      </c>
      <c r="E96" s="495" t="s">
        <v>192</v>
      </c>
      <c r="F96" s="494" t="s">
        <v>99</v>
      </c>
      <c r="G96" s="494" t="s">
        <v>99</v>
      </c>
      <c r="H96" s="496" t="s">
        <v>99</v>
      </c>
      <c r="I96" s="387"/>
      <c r="J96" s="387"/>
    </row>
    <row r="97" spans="1:10" ht="12.75" x14ac:dyDescent="0.2">
      <c r="A97" s="513">
        <v>76</v>
      </c>
      <c r="B97" s="395" t="s">
        <v>193</v>
      </c>
      <c r="C97" s="451"/>
      <c r="D97" s="454" t="s">
        <v>99</v>
      </c>
      <c r="E97" s="406">
        <f>-8830160.63-693856.21-105871.02-202234-1461717.51-41387.97-452950.21-139516-228118.3584-318016.8027-243934.47-288329.09+24812.7+75855.37-65884.38-340621.85-111726.3-466175.18-229717.7-78791.92-401791.92-456306.96</f>
        <v>-15056440.411100004</v>
      </c>
      <c r="F97" s="756"/>
      <c r="G97" s="453"/>
      <c r="H97" s="449"/>
      <c r="I97" s="387"/>
      <c r="J97" s="387"/>
    </row>
    <row r="98" spans="1:10" ht="12.75" x14ac:dyDescent="0.2">
      <c r="A98" s="513">
        <v>77</v>
      </c>
      <c r="B98" s="395" t="s">
        <v>194</v>
      </c>
      <c r="C98" s="451" t="s">
        <v>99</v>
      </c>
      <c r="D98" s="454" t="s">
        <v>99</v>
      </c>
      <c r="E98" s="406">
        <f>+E95+H82</f>
        <v>10893188.77</v>
      </c>
      <c r="F98" s="452"/>
      <c r="G98" s="453" t="s">
        <v>99</v>
      </c>
      <c r="H98" s="449" t="s">
        <v>99</v>
      </c>
      <c r="I98" s="387"/>
      <c r="J98" s="387"/>
    </row>
    <row r="99" spans="1:10" ht="12.75" x14ac:dyDescent="0.2">
      <c r="G99" s="45"/>
      <c r="I99" s="443"/>
      <c r="J99" s="387"/>
    </row>
    <row r="100" spans="1:10" ht="12.75" x14ac:dyDescent="0.2">
      <c r="D100" s="381"/>
      <c r="F100" s="380"/>
      <c r="I100" s="447"/>
      <c r="J100" s="387"/>
    </row>
    <row r="101" spans="1:10" x14ac:dyDescent="0.2">
      <c r="I101" s="380"/>
    </row>
    <row r="102" spans="1:10" x14ac:dyDescent="0.2">
      <c r="C102" s="382"/>
    </row>
    <row r="103" spans="1:10" x14ac:dyDescent="0.2">
      <c r="B103" s="383"/>
      <c r="C103" s="383"/>
    </row>
    <row r="104" spans="1:10" x14ac:dyDescent="0.2">
      <c r="B104" s="882" t="s">
        <v>1016</v>
      </c>
      <c r="C104" s="882"/>
      <c r="F104" s="882" t="s">
        <v>195</v>
      </c>
      <c r="G104" s="882"/>
    </row>
    <row r="105" spans="1:10" x14ac:dyDescent="0.2">
      <c r="B105" s="887" t="s">
        <v>400</v>
      </c>
      <c r="C105" s="887"/>
      <c r="F105" s="887" t="s">
        <v>198</v>
      </c>
      <c r="G105" s="887"/>
    </row>
  </sheetData>
  <mergeCells count="23">
    <mergeCell ref="B104:C104"/>
    <mergeCell ref="F104:G104"/>
    <mergeCell ref="H19:I19"/>
    <mergeCell ref="H23:I23"/>
    <mergeCell ref="B105:C105"/>
    <mergeCell ref="F105:G105"/>
    <mergeCell ref="H28:I28"/>
    <mergeCell ref="H30:I30"/>
    <mergeCell ref="H29:I29"/>
    <mergeCell ref="H18:I18"/>
    <mergeCell ref="A1:F1"/>
    <mergeCell ref="A2:F2"/>
    <mergeCell ref="A3:F3"/>
    <mergeCell ref="H27:I27"/>
    <mergeCell ref="H26:I26"/>
    <mergeCell ref="H7:J7"/>
    <mergeCell ref="I8:I9"/>
    <mergeCell ref="J8:J9"/>
    <mergeCell ref="H17:J17"/>
    <mergeCell ref="H20:I20"/>
    <mergeCell ref="H21:I21"/>
    <mergeCell ref="H22:I22"/>
    <mergeCell ref="H25:J25"/>
  </mergeCells>
  <pageMargins left="1.2736614173228347" right="0.70866141732283472" top="0.74803149606299213" bottom="0.74803149606299213" header="0.31496062992125984" footer="0.31496062992125984"/>
  <pageSetup paperSize="9" scale="46" fitToHeight="0" orientation="landscape" r:id="rId1"/>
  <rowBreaks count="1" manualBreakCount="1">
    <brk id="79" max="9" man="1"/>
  </rowBreaks>
  <ignoredErrors>
    <ignoredError sqref="C81:E82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W77"/>
  <sheetViews>
    <sheetView showGridLines="0" view="pageBreakPreview" topLeftCell="A54" zoomScale="85" zoomScaleNormal="98" zoomScaleSheetLayoutView="85" workbookViewId="0"/>
  </sheetViews>
  <sheetFormatPr baseColWidth="10" defaultRowHeight="15" x14ac:dyDescent="0.25"/>
  <cols>
    <col min="1" max="1" width="14.7109375" style="684" customWidth="1"/>
    <col min="2" max="2" width="21.140625" style="684" bestFit="1" customWidth="1"/>
    <col min="3" max="3" width="13" style="684" customWidth="1"/>
    <col min="4" max="4" width="26.85546875" style="684" customWidth="1"/>
    <col min="5" max="5" width="31.5703125" style="684" bestFit="1" customWidth="1"/>
    <col min="6" max="6" width="23" style="684" customWidth="1"/>
    <col min="7" max="7" width="22.85546875" style="684" bestFit="1" customWidth="1"/>
    <col min="8" max="8" width="31.28515625" style="684" customWidth="1"/>
    <col min="9" max="9" width="23.140625" style="684" customWidth="1"/>
    <col min="10" max="10" width="17.5703125" style="678" customWidth="1"/>
    <col min="11" max="11" width="17.42578125" style="684" bestFit="1" customWidth="1"/>
    <col min="12" max="12" width="23.28515625" style="684" bestFit="1" customWidth="1"/>
    <col min="13" max="13" width="20.7109375" style="685" bestFit="1" customWidth="1"/>
    <col min="14" max="14" width="26.28515625" style="684" customWidth="1"/>
    <col min="15" max="15" width="36.42578125" style="684" customWidth="1"/>
    <col min="16" max="16" width="24" style="684" bestFit="1" customWidth="1"/>
    <col min="17" max="17" width="12.85546875" style="685" bestFit="1" customWidth="1"/>
    <col min="18" max="18" width="13.5703125" style="684" bestFit="1" customWidth="1"/>
    <col min="19" max="19" width="14.140625" style="686" customWidth="1"/>
    <col min="20" max="20" width="14.140625" style="687" bestFit="1" customWidth="1"/>
    <col min="21" max="21" width="9.7109375" style="684" bestFit="1" customWidth="1"/>
    <col min="22" max="22" width="13.28515625" style="684" bestFit="1" customWidth="1"/>
    <col min="23" max="23" width="24.140625" style="684" bestFit="1" customWidth="1"/>
    <col min="24" max="24" width="4.140625" style="678" customWidth="1"/>
    <col min="25" max="16384" width="11.42578125" style="678"/>
  </cols>
  <sheetData>
    <row r="1" spans="1:23" s="669" customFormat="1" ht="18.75" x14ac:dyDescent="0.2">
      <c r="A1" s="660" t="s">
        <v>1033</v>
      </c>
      <c r="B1" s="661"/>
      <c r="C1" s="661"/>
      <c r="D1" s="661"/>
      <c r="E1" s="662"/>
      <c r="F1" s="662"/>
      <c r="G1" s="662"/>
      <c r="H1" s="662"/>
      <c r="I1" s="662"/>
      <c r="J1" s="663"/>
      <c r="K1" s="662"/>
      <c r="L1" s="662"/>
      <c r="M1" s="664"/>
      <c r="N1" s="665"/>
      <c r="O1" s="665"/>
      <c r="P1" s="665"/>
      <c r="Q1" s="666"/>
      <c r="R1" s="665"/>
      <c r="S1" s="667"/>
      <c r="T1" s="668"/>
      <c r="U1" s="665"/>
      <c r="V1" s="665"/>
      <c r="W1" s="665"/>
    </row>
    <row r="2" spans="1:23" s="669" customFormat="1" ht="17.25" customHeight="1" x14ac:dyDescent="0.25">
      <c r="A2" s="539">
        <f>COUNTA(A4:A71)</f>
        <v>68</v>
      </c>
      <c r="B2" s="670"/>
      <c r="C2" s="662"/>
      <c r="D2" s="662"/>
      <c r="E2" s="662"/>
      <c r="F2" s="662"/>
      <c r="G2" s="662"/>
      <c r="H2" s="662"/>
      <c r="I2" s="662"/>
      <c r="J2" s="663"/>
      <c r="K2" s="662"/>
      <c r="L2" s="662"/>
      <c r="M2" s="664"/>
      <c r="N2" s="665"/>
      <c r="O2" s="665"/>
      <c r="P2" s="665"/>
      <c r="Q2" s="666"/>
      <c r="R2" s="665"/>
      <c r="S2" s="667"/>
      <c r="T2" s="538">
        <f>SUM(T4:T71)</f>
        <v>7719</v>
      </c>
      <c r="U2" s="665"/>
      <c r="V2" s="665"/>
      <c r="W2" s="665"/>
    </row>
    <row r="3" spans="1:23" ht="22.5" x14ac:dyDescent="0.25">
      <c r="A3" s="671" t="s">
        <v>403</v>
      </c>
      <c r="B3" s="672" t="s">
        <v>57</v>
      </c>
      <c r="C3" s="672" t="s">
        <v>58</v>
      </c>
      <c r="D3" s="672" t="s">
        <v>367</v>
      </c>
      <c r="E3" s="672" t="s">
        <v>368</v>
      </c>
      <c r="F3" s="672" t="s">
        <v>369</v>
      </c>
      <c r="G3" s="672" t="s">
        <v>370</v>
      </c>
      <c r="H3" s="673" t="s">
        <v>371</v>
      </c>
      <c r="I3" s="673" t="s">
        <v>372</v>
      </c>
      <c r="J3" s="673" t="s">
        <v>59</v>
      </c>
      <c r="K3" s="674" t="s">
        <v>373</v>
      </c>
      <c r="L3" s="673" t="s">
        <v>374</v>
      </c>
      <c r="M3" s="673" t="s">
        <v>375</v>
      </c>
      <c r="N3" s="673" t="s">
        <v>376</v>
      </c>
      <c r="O3" s="674" t="s">
        <v>404</v>
      </c>
      <c r="P3" s="675" t="s">
        <v>91</v>
      </c>
      <c r="Q3" s="675" t="s">
        <v>377</v>
      </c>
      <c r="R3" s="675" t="s">
        <v>378</v>
      </c>
      <c r="S3" s="676" t="s">
        <v>953</v>
      </c>
      <c r="T3" s="677" t="s">
        <v>954</v>
      </c>
      <c r="U3" s="677" t="s">
        <v>955</v>
      </c>
      <c r="V3" s="677" t="s">
        <v>89</v>
      </c>
      <c r="W3" s="677" t="s">
        <v>458</v>
      </c>
    </row>
    <row r="4" spans="1:23" x14ac:dyDescent="0.25">
      <c r="A4" s="679" t="s">
        <v>546</v>
      </c>
      <c r="B4" s="680" t="s">
        <v>413</v>
      </c>
      <c r="C4" s="680" t="s">
        <v>413</v>
      </c>
      <c r="D4" s="680" t="s">
        <v>603</v>
      </c>
      <c r="E4" s="680" t="s">
        <v>979</v>
      </c>
      <c r="F4" s="680" t="s">
        <v>612</v>
      </c>
      <c r="G4" s="680" t="s">
        <v>603</v>
      </c>
      <c r="H4" s="680" t="s">
        <v>976</v>
      </c>
      <c r="I4" s="680" t="s">
        <v>613</v>
      </c>
      <c r="J4" s="680" t="s">
        <v>614</v>
      </c>
      <c r="K4" s="680" t="s">
        <v>615</v>
      </c>
      <c r="L4" s="680" t="s">
        <v>616</v>
      </c>
      <c r="M4" s="681">
        <v>42200</v>
      </c>
      <c r="N4" s="680" t="s">
        <v>977</v>
      </c>
      <c r="O4" s="680" t="s">
        <v>978</v>
      </c>
      <c r="P4" s="680" t="s">
        <v>428</v>
      </c>
      <c r="Q4" s="681">
        <v>45505</v>
      </c>
      <c r="R4" s="681" t="s">
        <v>739</v>
      </c>
      <c r="S4" s="768">
        <v>113335.42</v>
      </c>
      <c r="T4" s="682">
        <v>178</v>
      </c>
      <c r="U4" s="683" t="s">
        <v>2</v>
      </c>
      <c r="V4" s="679" t="s">
        <v>740</v>
      </c>
      <c r="W4" s="680" t="s">
        <v>742</v>
      </c>
    </row>
    <row r="5" spans="1:23" x14ac:dyDescent="0.25">
      <c r="A5" s="679" t="s">
        <v>547</v>
      </c>
      <c r="B5" s="680" t="s">
        <v>413</v>
      </c>
      <c r="C5" s="680" t="s">
        <v>413</v>
      </c>
      <c r="D5" s="680" t="s">
        <v>626</v>
      </c>
      <c r="E5" s="680" t="s">
        <v>979</v>
      </c>
      <c r="F5" s="680" t="s">
        <v>617</v>
      </c>
      <c r="G5" s="680" t="s">
        <v>626</v>
      </c>
      <c r="H5" s="680" t="s">
        <v>618</v>
      </c>
      <c r="I5" s="680" t="s">
        <v>619</v>
      </c>
      <c r="J5" s="680">
        <v>4</v>
      </c>
      <c r="K5" s="680" t="s">
        <v>620</v>
      </c>
      <c r="L5" s="680" t="s">
        <v>621</v>
      </c>
      <c r="M5" s="681">
        <v>43530</v>
      </c>
      <c r="N5" s="680" t="s">
        <v>980</v>
      </c>
      <c r="O5" s="680" t="s">
        <v>622</v>
      </c>
      <c r="P5" s="680" t="s">
        <v>428</v>
      </c>
      <c r="Q5" s="681">
        <v>45505</v>
      </c>
      <c r="R5" s="681" t="s">
        <v>739</v>
      </c>
      <c r="S5" s="768">
        <v>66190.460000000006</v>
      </c>
      <c r="T5" s="682">
        <v>114</v>
      </c>
      <c r="U5" s="683" t="s">
        <v>2</v>
      </c>
      <c r="V5" s="679" t="s">
        <v>981</v>
      </c>
      <c r="W5" s="680" t="s">
        <v>742</v>
      </c>
    </row>
    <row r="6" spans="1:23" x14ac:dyDescent="0.25">
      <c r="A6" s="679" t="s">
        <v>548</v>
      </c>
      <c r="B6" s="680" t="s">
        <v>413</v>
      </c>
      <c r="C6" s="680" t="s">
        <v>413</v>
      </c>
      <c r="D6" s="680" t="s">
        <v>985</v>
      </c>
      <c r="E6" s="680" t="s">
        <v>979</v>
      </c>
      <c r="F6" s="680" t="s">
        <v>617</v>
      </c>
      <c r="G6" s="680" t="s">
        <v>985</v>
      </c>
      <c r="H6" s="680" t="s">
        <v>982</v>
      </c>
      <c r="I6" s="680" t="s">
        <v>625</v>
      </c>
      <c r="J6" s="680" t="s">
        <v>628</v>
      </c>
      <c r="K6" s="680" t="s">
        <v>629</v>
      </c>
      <c r="L6" s="680" t="s">
        <v>630</v>
      </c>
      <c r="M6" s="681">
        <v>40998</v>
      </c>
      <c r="N6" s="680" t="s">
        <v>983</v>
      </c>
      <c r="O6" s="680" t="s">
        <v>984</v>
      </c>
      <c r="P6" s="680" t="s">
        <v>428</v>
      </c>
      <c r="Q6" s="681">
        <v>45505</v>
      </c>
      <c r="R6" s="681" t="s">
        <v>739</v>
      </c>
      <c r="S6" s="768">
        <v>230282.85</v>
      </c>
      <c r="T6" s="682">
        <v>165</v>
      </c>
      <c r="U6" s="683" t="s">
        <v>2</v>
      </c>
      <c r="V6" s="679" t="s">
        <v>740</v>
      </c>
      <c r="W6" s="680" t="s">
        <v>742</v>
      </c>
    </row>
    <row r="7" spans="1:23" x14ac:dyDescent="0.25">
      <c r="A7" s="679" t="s">
        <v>549</v>
      </c>
      <c r="B7" s="680" t="s">
        <v>413</v>
      </c>
      <c r="C7" s="680" t="s">
        <v>413</v>
      </c>
      <c r="D7" s="680" t="s">
        <v>626</v>
      </c>
      <c r="E7" s="680" t="s">
        <v>979</v>
      </c>
      <c r="F7" s="680" t="s">
        <v>604</v>
      </c>
      <c r="G7" s="680" t="s">
        <v>626</v>
      </c>
      <c r="H7" s="680" t="s">
        <v>986</v>
      </c>
      <c r="I7" s="680" t="s">
        <v>613</v>
      </c>
      <c r="J7" s="680" t="s">
        <v>632</v>
      </c>
      <c r="K7" s="680" t="s">
        <v>633</v>
      </c>
      <c r="L7" s="680" t="s">
        <v>630</v>
      </c>
      <c r="M7" s="681">
        <v>43048</v>
      </c>
      <c r="N7" s="680" t="s">
        <v>634</v>
      </c>
      <c r="O7" s="680" t="s">
        <v>635</v>
      </c>
      <c r="P7" s="680" t="s">
        <v>428</v>
      </c>
      <c r="Q7" s="681">
        <v>45505</v>
      </c>
      <c r="R7" s="681" t="s">
        <v>739</v>
      </c>
      <c r="S7" s="768">
        <v>230927.15</v>
      </c>
      <c r="T7" s="682">
        <v>167</v>
      </c>
      <c r="U7" s="683" t="s">
        <v>2</v>
      </c>
      <c r="V7" s="679" t="s">
        <v>981</v>
      </c>
      <c r="W7" s="680" t="s">
        <v>741</v>
      </c>
    </row>
    <row r="8" spans="1:23" x14ac:dyDescent="0.25">
      <c r="A8" s="679" t="s">
        <v>550</v>
      </c>
      <c r="B8" s="680" t="s">
        <v>413</v>
      </c>
      <c r="C8" s="680" t="s">
        <v>413</v>
      </c>
      <c r="D8" s="680" t="s">
        <v>603</v>
      </c>
      <c r="E8" s="680" t="s">
        <v>541</v>
      </c>
      <c r="F8" s="680" t="s">
        <v>604</v>
      </c>
      <c r="G8" s="680" t="s">
        <v>603</v>
      </c>
      <c r="H8" s="680" t="s">
        <v>636</v>
      </c>
      <c r="I8" s="680" t="s">
        <v>613</v>
      </c>
      <c r="J8" s="680" t="s">
        <v>637</v>
      </c>
      <c r="K8" s="680" t="s">
        <v>638</v>
      </c>
      <c r="L8" s="680" t="s">
        <v>630</v>
      </c>
      <c r="M8" s="681">
        <v>42906</v>
      </c>
      <c r="N8" s="680" t="s">
        <v>980</v>
      </c>
      <c r="O8" s="680" t="s">
        <v>622</v>
      </c>
      <c r="P8" s="680" t="s">
        <v>428</v>
      </c>
      <c r="Q8" s="681">
        <v>45505</v>
      </c>
      <c r="R8" s="681" t="s">
        <v>739</v>
      </c>
      <c r="S8" s="768">
        <v>227328.24</v>
      </c>
      <c r="T8" s="682">
        <v>158</v>
      </c>
      <c r="U8" s="683" t="s">
        <v>2</v>
      </c>
      <c r="V8" s="679" t="s">
        <v>981</v>
      </c>
      <c r="W8" s="680" t="s">
        <v>742</v>
      </c>
    </row>
    <row r="9" spans="1:23" x14ac:dyDescent="0.25">
      <c r="A9" s="679" t="s">
        <v>551</v>
      </c>
      <c r="B9" s="680" t="s">
        <v>413</v>
      </c>
      <c r="C9" s="680" t="s">
        <v>413</v>
      </c>
      <c r="D9" s="680" t="s">
        <v>985</v>
      </c>
      <c r="E9" s="680" t="s">
        <v>979</v>
      </c>
      <c r="F9" s="680" t="s">
        <v>604</v>
      </c>
      <c r="G9" s="680" t="s">
        <v>985</v>
      </c>
      <c r="H9" s="680" t="s">
        <v>639</v>
      </c>
      <c r="I9" s="680" t="s">
        <v>613</v>
      </c>
      <c r="J9" s="680" t="s">
        <v>640</v>
      </c>
      <c r="K9" s="680" t="s">
        <v>641</v>
      </c>
      <c r="L9" s="680" t="s">
        <v>609</v>
      </c>
      <c r="M9" s="681">
        <v>42640</v>
      </c>
      <c r="N9" s="680" t="s">
        <v>977</v>
      </c>
      <c r="O9" s="680" t="s">
        <v>992</v>
      </c>
      <c r="P9" s="680" t="s">
        <v>428</v>
      </c>
      <c r="Q9" s="681">
        <v>45505</v>
      </c>
      <c r="R9" s="681" t="s">
        <v>739</v>
      </c>
      <c r="S9" s="768">
        <v>76127.679999999993</v>
      </c>
      <c r="T9" s="682">
        <v>142</v>
      </c>
      <c r="U9" s="683" t="s">
        <v>2</v>
      </c>
      <c r="V9" s="679" t="s">
        <v>740</v>
      </c>
      <c r="W9" s="680" t="s">
        <v>742</v>
      </c>
    </row>
    <row r="10" spans="1:23" x14ac:dyDescent="0.25">
      <c r="A10" s="679" t="s">
        <v>552</v>
      </c>
      <c r="B10" s="680" t="s">
        <v>413</v>
      </c>
      <c r="C10" s="680" t="s">
        <v>413</v>
      </c>
      <c r="D10" s="680" t="s">
        <v>603</v>
      </c>
      <c r="E10" s="680" t="s">
        <v>979</v>
      </c>
      <c r="F10" s="680" t="s">
        <v>604</v>
      </c>
      <c r="G10" s="680" t="s">
        <v>603</v>
      </c>
      <c r="H10" s="680" t="s">
        <v>642</v>
      </c>
      <c r="I10" s="680" t="s">
        <v>613</v>
      </c>
      <c r="J10" s="680" t="s">
        <v>643</v>
      </c>
      <c r="K10" s="680" t="s">
        <v>644</v>
      </c>
      <c r="L10" s="680" t="s">
        <v>609</v>
      </c>
      <c r="M10" s="681">
        <v>42643</v>
      </c>
      <c r="N10" s="680" t="s">
        <v>977</v>
      </c>
      <c r="O10" s="680" t="s">
        <v>989</v>
      </c>
      <c r="P10" s="680" t="s">
        <v>428</v>
      </c>
      <c r="Q10" s="681">
        <v>45505</v>
      </c>
      <c r="R10" s="681" t="s">
        <v>739</v>
      </c>
      <c r="S10" s="768">
        <v>128562.49</v>
      </c>
      <c r="T10" s="682">
        <v>207</v>
      </c>
      <c r="U10" s="683" t="s">
        <v>2</v>
      </c>
      <c r="V10" s="679" t="s">
        <v>740</v>
      </c>
      <c r="W10" s="680" t="s">
        <v>742</v>
      </c>
    </row>
    <row r="11" spans="1:23" x14ac:dyDescent="0.25">
      <c r="A11" s="679" t="s">
        <v>553</v>
      </c>
      <c r="B11" s="680" t="s">
        <v>413</v>
      </c>
      <c r="C11" s="680" t="s">
        <v>413</v>
      </c>
      <c r="D11" s="680" t="s">
        <v>626</v>
      </c>
      <c r="E11" s="680" t="s">
        <v>979</v>
      </c>
      <c r="F11" s="680" t="s">
        <v>604</v>
      </c>
      <c r="G11" s="680" t="s">
        <v>626</v>
      </c>
      <c r="H11" s="680" t="s">
        <v>990</v>
      </c>
      <c r="I11" s="680" t="s">
        <v>613</v>
      </c>
      <c r="J11" s="680" t="s">
        <v>645</v>
      </c>
      <c r="K11" s="680" t="s">
        <v>646</v>
      </c>
      <c r="L11" s="680" t="s">
        <v>609</v>
      </c>
      <c r="M11" s="681">
        <v>42905</v>
      </c>
      <c r="N11" s="680" t="s">
        <v>977</v>
      </c>
      <c r="O11" s="680" t="s">
        <v>978</v>
      </c>
      <c r="P11" s="680" t="s">
        <v>428</v>
      </c>
      <c r="Q11" s="681">
        <v>45505</v>
      </c>
      <c r="R11" s="681" t="s">
        <v>739</v>
      </c>
      <c r="S11" s="768">
        <v>116566.43</v>
      </c>
      <c r="T11" s="682">
        <v>145</v>
      </c>
      <c r="U11" s="683" t="s">
        <v>2</v>
      </c>
      <c r="V11" s="679" t="s">
        <v>740</v>
      </c>
      <c r="W11" s="680" t="s">
        <v>742</v>
      </c>
    </row>
    <row r="12" spans="1:23" x14ac:dyDescent="0.25">
      <c r="A12" s="679" t="s">
        <v>844</v>
      </c>
      <c r="B12" s="680" t="s">
        <v>413</v>
      </c>
      <c r="C12" s="680" t="s">
        <v>413</v>
      </c>
      <c r="D12" s="680" t="s">
        <v>985</v>
      </c>
      <c r="E12" s="680" t="s">
        <v>1388</v>
      </c>
      <c r="F12" s="680" t="s">
        <v>604</v>
      </c>
      <c r="G12" s="680" t="s">
        <v>985</v>
      </c>
      <c r="H12" s="680" t="s">
        <v>605</v>
      </c>
      <c r="I12" s="680" t="s">
        <v>605</v>
      </c>
      <c r="J12" s="680"/>
      <c r="K12" s="680"/>
      <c r="L12" s="680" t="s">
        <v>606</v>
      </c>
      <c r="M12" s="681"/>
      <c r="N12" s="680" t="s">
        <v>697</v>
      </c>
      <c r="O12" s="680" t="s">
        <v>698</v>
      </c>
      <c r="P12" s="680" t="s">
        <v>698</v>
      </c>
      <c r="Q12" s="681">
        <v>45505</v>
      </c>
      <c r="R12" s="681" t="s">
        <v>739</v>
      </c>
      <c r="S12" s="768">
        <v>49037.1</v>
      </c>
      <c r="T12" s="682">
        <v>4</v>
      </c>
      <c r="U12" s="683" t="s">
        <v>2</v>
      </c>
      <c r="V12" s="679" t="s">
        <v>740</v>
      </c>
      <c r="W12" s="680"/>
    </row>
    <row r="13" spans="1:23" x14ac:dyDescent="0.25">
      <c r="A13" s="679" t="s">
        <v>554</v>
      </c>
      <c r="B13" s="680" t="s">
        <v>413</v>
      </c>
      <c r="C13" s="680" t="s">
        <v>413</v>
      </c>
      <c r="D13" s="680" t="s">
        <v>985</v>
      </c>
      <c r="E13" s="680" t="s">
        <v>541</v>
      </c>
      <c r="F13" s="680" t="s">
        <v>604</v>
      </c>
      <c r="G13" s="680" t="s">
        <v>985</v>
      </c>
      <c r="H13" s="680" t="s">
        <v>627</v>
      </c>
      <c r="I13" s="680" t="s">
        <v>625</v>
      </c>
      <c r="J13" s="680" t="s">
        <v>991</v>
      </c>
      <c r="K13" s="680" t="s">
        <v>647</v>
      </c>
      <c r="L13" s="680" t="s">
        <v>616</v>
      </c>
      <c r="M13" s="681">
        <v>43644</v>
      </c>
      <c r="N13" s="680" t="s">
        <v>610</v>
      </c>
      <c r="O13" s="680" t="s">
        <v>648</v>
      </c>
      <c r="P13" s="680" t="s">
        <v>428</v>
      </c>
      <c r="Q13" s="681">
        <v>45505</v>
      </c>
      <c r="R13" s="681" t="s">
        <v>739</v>
      </c>
      <c r="S13" s="768">
        <v>98078.92</v>
      </c>
      <c r="T13" s="682">
        <v>76</v>
      </c>
      <c r="U13" s="683" t="s">
        <v>2</v>
      </c>
      <c r="V13" s="679" t="s">
        <v>981</v>
      </c>
      <c r="W13" s="680" t="s">
        <v>742</v>
      </c>
    </row>
    <row r="14" spans="1:23" x14ac:dyDescent="0.25">
      <c r="A14" s="679" t="s">
        <v>555</v>
      </c>
      <c r="B14" s="680" t="s">
        <v>413</v>
      </c>
      <c r="C14" s="680" t="s">
        <v>413</v>
      </c>
      <c r="D14" s="680" t="s">
        <v>626</v>
      </c>
      <c r="E14" s="680" t="s">
        <v>979</v>
      </c>
      <c r="F14" s="680" t="s">
        <v>604</v>
      </c>
      <c r="G14" s="680" t="s">
        <v>626</v>
      </c>
      <c r="H14" s="680" t="s">
        <v>605</v>
      </c>
      <c r="I14" s="680" t="s">
        <v>605</v>
      </c>
      <c r="J14" s="680"/>
      <c r="K14" s="680"/>
      <c r="L14" s="680" t="s">
        <v>606</v>
      </c>
      <c r="M14" s="681"/>
      <c r="N14" s="680" t="s">
        <v>539</v>
      </c>
      <c r="O14" s="680" t="s">
        <v>429</v>
      </c>
      <c r="P14" s="680" t="s">
        <v>430</v>
      </c>
      <c r="Q14" s="681">
        <v>45505</v>
      </c>
      <c r="R14" s="681" t="s">
        <v>739</v>
      </c>
      <c r="S14" s="768">
        <v>8008.35</v>
      </c>
      <c r="T14" s="682">
        <v>34</v>
      </c>
      <c r="U14" s="683" t="s">
        <v>2</v>
      </c>
      <c r="V14" s="679" t="s">
        <v>981</v>
      </c>
      <c r="W14" s="680" t="s">
        <v>741</v>
      </c>
    </row>
    <row r="15" spans="1:23" x14ac:dyDescent="0.25">
      <c r="A15" s="679" t="s">
        <v>556</v>
      </c>
      <c r="B15" s="680" t="s">
        <v>413</v>
      </c>
      <c r="C15" s="680" t="s">
        <v>413</v>
      </c>
      <c r="D15" s="680" t="s">
        <v>626</v>
      </c>
      <c r="E15" s="680" t="s">
        <v>979</v>
      </c>
      <c r="F15" s="680" t="s">
        <v>604</v>
      </c>
      <c r="G15" s="680" t="s">
        <v>626</v>
      </c>
      <c r="H15" s="680" t="s">
        <v>986</v>
      </c>
      <c r="I15" s="680" t="s">
        <v>625</v>
      </c>
      <c r="J15" s="680" t="s">
        <v>643</v>
      </c>
      <c r="K15" s="680" t="s">
        <v>649</v>
      </c>
      <c r="L15" s="680" t="s">
        <v>609</v>
      </c>
      <c r="M15" s="681">
        <v>41087</v>
      </c>
      <c r="N15" s="680" t="s">
        <v>977</v>
      </c>
      <c r="O15" s="680" t="s">
        <v>989</v>
      </c>
      <c r="P15" s="680" t="s">
        <v>428</v>
      </c>
      <c r="Q15" s="681">
        <v>45505</v>
      </c>
      <c r="R15" s="681" t="s">
        <v>739</v>
      </c>
      <c r="S15" s="768">
        <v>119324.99</v>
      </c>
      <c r="T15" s="682">
        <v>154</v>
      </c>
      <c r="U15" s="683" t="s">
        <v>2</v>
      </c>
      <c r="V15" s="679" t="s">
        <v>740</v>
      </c>
      <c r="W15" s="680" t="s">
        <v>742</v>
      </c>
    </row>
    <row r="16" spans="1:23" x14ac:dyDescent="0.25">
      <c r="A16" s="679" t="s">
        <v>557</v>
      </c>
      <c r="B16" s="680" t="s">
        <v>413</v>
      </c>
      <c r="C16" s="680" t="s">
        <v>413</v>
      </c>
      <c r="D16" s="680" t="s">
        <v>985</v>
      </c>
      <c r="E16" s="680" t="s">
        <v>979</v>
      </c>
      <c r="F16" s="680" t="s">
        <v>604</v>
      </c>
      <c r="G16" s="680" t="s">
        <v>985</v>
      </c>
      <c r="H16" s="680" t="s">
        <v>651</v>
      </c>
      <c r="I16" s="680" t="s">
        <v>613</v>
      </c>
      <c r="J16" s="680" t="s">
        <v>652</v>
      </c>
      <c r="K16" s="680" t="s">
        <v>653</v>
      </c>
      <c r="L16" s="680" t="s">
        <v>609</v>
      </c>
      <c r="M16" s="681">
        <v>43005</v>
      </c>
      <c r="N16" s="680" t="s">
        <v>610</v>
      </c>
      <c r="O16" s="680" t="s">
        <v>999</v>
      </c>
      <c r="P16" s="680" t="s">
        <v>428</v>
      </c>
      <c r="Q16" s="681">
        <v>45505</v>
      </c>
      <c r="R16" s="681" t="s">
        <v>739</v>
      </c>
      <c r="S16" s="768">
        <v>109476.93</v>
      </c>
      <c r="T16" s="682">
        <v>117</v>
      </c>
      <c r="U16" s="683" t="s">
        <v>2</v>
      </c>
      <c r="V16" s="679" t="s">
        <v>981</v>
      </c>
      <c r="W16" s="680" t="s">
        <v>742</v>
      </c>
    </row>
    <row r="17" spans="1:23" x14ac:dyDescent="0.25">
      <c r="A17" s="679" t="s">
        <v>558</v>
      </c>
      <c r="B17" s="680" t="s">
        <v>413</v>
      </c>
      <c r="C17" s="680" t="s">
        <v>413</v>
      </c>
      <c r="D17" s="680" t="s">
        <v>603</v>
      </c>
      <c r="E17" s="680" t="s">
        <v>979</v>
      </c>
      <c r="F17" s="680" t="s">
        <v>604</v>
      </c>
      <c r="G17" s="680" t="s">
        <v>603</v>
      </c>
      <c r="H17" s="680" t="s">
        <v>642</v>
      </c>
      <c r="I17" s="680" t="s">
        <v>613</v>
      </c>
      <c r="J17" s="680" t="s">
        <v>655</v>
      </c>
      <c r="K17" s="680" t="s">
        <v>656</v>
      </c>
      <c r="L17" s="680" t="s">
        <v>609</v>
      </c>
      <c r="M17" s="681">
        <v>43601</v>
      </c>
      <c r="N17" s="680" t="s">
        <v>987</v>
      </c>
      <c r="O17" s="680" t="s">
        <v>988</v>
      </c>
      <c r="P17" s="680" t="s">
        <v>428</v>
      </c>
      <c r="Q17" s="681">
        <v>45505</v>
      </c>
      <c r="R17" s="681" t="s">
        <v>739</v>
      </c>
      <c r="S17" s="768">
        <v>112334.58</v>
      </c>
      <c r="T17" s="682">
        <v>82</v>
      </c>
      <c r="U17" s="683" t="s">
        <v>2</v>
      </c>
      <c r="V17" s="679" t="s">
        <v>981</v>
      </c>
      <c r="W17" s="680" t="s">
        <v>742</v>
      </c>
    </row>
    <row r="18" spans="1:23" x14ac:dyDescent="0.25">
      <c r="A18" s="679" t="s">
        <v>559</v>
      </c>
      <c r="B18" s="680" t="s">
        <v>413</v>
      </c>
      <c r="C18" s="680" t="s">
        <v>413</v>
      </c>
      <c r="D18" s="680" t="s">
        <v>603</v>
      </c>
      <c r="E18" s="680" t="s">
        <v>979</v>
      </c>
      <c r="F18" s="680" t="s">
        <v>604</v>
      </c>
      <c r="G18" s="680" t="s">
        <v>603</v>
      </c>
      <c r="H18" s="680" t="s">
        <v>607</v>
      </c>
      <c r="I18" s="680" t="s">
        <v>619</v>
      </c>
      <c r="J18" s="680" t="s">
        <v>657</v>
      </c>
      <c r="K18" s="680" t="s">
        <v>658</v>
      </c>
      <c r="L18" s="680" t="s">
        <v>609</v>
      </c>
      <c r="M18" s="681">
        <v>40807</v>
      </c>
      <c r="N18" s="680" t="s">
        <v>977</v>
      </c>
      <c r="O18" s="680" t="s">
        <v>989</v>
      </c>
      <c r="P18" s="680" t="s">
        <v>428</v>
      </c>
      <c r="Q18" s="681">
        <v>45505</v>
      </c>
      <c r="R18" s="681" t="s">
        <v>739</v>
      </c>
      <c r="S18" s="768">
        <v>79760.37</v>
      </c>
      <c r="T18" s="682">
        <v>220</v>
      </c>
      <c r="U18" s="683" t="s">
        <v>2</v>
      </c>
      <c r="V18" s="679" t="s">
        <v>740</v>
      </c>
      <c r="W18" s="680" t="s">
        <v>742</v>
      </c>
    </row>
    <row r="19" spans="1:23" x14ac:dyDescent="0.25">
      <c r="A19" s="679" t="s">
        <v>542</v>
      </c>
      <c r="B19" s="680" t="s">
        <v>413</v>
      </c>
      <c r="C19" s="680" t="s">
        <v>413</v>
      </c>
      <c r="D19" s="680" t="s">
        <v>603</v>
      </c>
      <c r="E19" s="680" t="s">
        <v>979</v>
      </c>
      <c r="F19" s="680" t="s">
        <v>604</v>
      </c>
      <c r="G19" s="680" t="s">
        <v>603</v>
      </c>
      <c r="H19" s="680" t="s">
        <v>659</v>
      </c>
      <c r="I19" s="680" t="s">
        <v>619</v>
      </c>
      <c r="J19" s="680" t="s">
        <v>660</v>
      </c>
      <c r="K19" s="680" t="s">
        <v>661</v>
      </c>
      <c r="L19" s="680" t="s">
        <v>609</v>
      </c>
      <c r="M19" s="681">
        <v>42922</v>
      </c>
      <c r="N19" s="680" t="s">
        <v>977</v>
      </c>
      <c r="O19" s="680" t="s">
        <v>989</v>
      </c>
      <c r="P19" s="680" t="s">
        <v>428</v>
      </c>
      <c r="Q19" s="681">
        <v>45505</v>
      </c>
      <c r="R19" s="681" t="s">
        <v>739</v>
      </c>
      <c r="S19" s="768">
        <v>73396.77</v>
      </c>
      <c r="T19" s="682">
        <v>158</v>
      </c>
      <c r="U19" s="683" t="s">
        <v>2</v>
      </c>
      <c r="V19" s="679" t="s">
        <v>740</v>
      </c>
      <c r="W19" s="680" t="s">
        <v>742</v>
      </c>
    </row>
    <row r="20" spans="1:23" x14ac:dyDescent="0.25">
      <c r="A20" s="679" t="s">
        <v>560</v>
      </c>
      <c r="B20" s="680" t="s">
        <v>413</v>
      </c>
      <c r="C20" s="680" t="s">
        <v>413</v>
      </c>
      <c r="D20" s="680" t="s">
        <v>985</v>
      </c>
      <c r="E20" s="680" t="s">
        <v>979</v>
      </c>
      <c r="F20" s="680" t="s">
        <v>604</v>
      </c>
      <c r="G20" s="680" t="s">
        <v>985</v>
      </c>
      <c r="H20" s="680" t="s">
        <v>659</v>
      </c>
      <c r="I20" s="680" t="s">
        <v>613</v>
      </c>
      <c r="J20" s="680" t="s">
        <v>662</v>
      </c>
      <c r="K20" s="680" t="s">
        <v>663</v>
      </c>
      <c r="L20" s="680" t="s">
        <v>609</v>
      </c>
      <c r="M20" s="681">
        <v>42921</v>
      </c>
      <c r="N20" s="680" t="s">
        <v>977</v>
      </c>
      <c r="O20" s="680" t="s">
        <v>989</v>
      </c>
      <c r="P20" s="680" t="s">
        <v>428</v>
      </c>
      <c r="Q20" s="681">
        <v>45505</v>
      </c>
      <c r="R20" s="681" t="s">
        <v>739</v>
      </c>
      <c r="S20" s="768">
        <v>72620.81</v>
      </c>
      <c r="T20" s="682">
        <v>175</v>
      </c>
      <c r="U20" s="683" t="s">
        <v>2</v>
      </c>
      <c r="V20" s="679" t="s">
        <v>740</v>
      </c>
      <c r="W20" s="680" t="s">
        <v>742</v>
      </c>
    </row>
    <row r="21" spans="1:23" x14ac:dyDescent="0.25">
      <c r="A21" s="679" t="s">
        <v>561</v>
      </c>
      <c r="B21" s="680" t="s">
        <v>413</v>
      </c>
      <c r="C21" s="680" t="s">
        <v>413</v>
      </c>
      <c r="D21" s="680" t="s">
        <v>603</v>
      </c>
      <c r="E21" s="680" t="s">
        <v>979</v>
      </c>
      <c r="F21" s="680" t="s">
        <v>604</v>
      </c>
      <c r="G21" s="680" t="s">
        <v>603</v>
      </c>
      <c r="H21" s="680" t="s">
        <v>664</v>
      </c>
      <c r="I21" s="680" t="s">
        <v>625</v>
      </c>
      <c r="J21" s="680" t="s">
        <v>665</v>
      </c>
      <c r="K21" s="680" t="s">
        <v>666</v>
      </c>
      <c r="L21" s="680" t="s">
        <v>609</v>
      </c>
      <c r="M21" s="681">
        <v>40647</v>
      </c>
      <c r="N21" s="680" t="s">
        <v>977</v>
      </c>
      <c r="O21" s="680" t="s">
        <v>992</v>
      </c>
      <c r="P21" s="680" t="s">
        <v>428</v>
      </c>
      <c r="Q21" s="681">
        <v>45505</v>
      </c>
      <c r="R21" s="681" t="s">
        <v>739</v>
      </c>
      <c r="S21" s="768">
        <v>73966.7</v>
      </c>
      <c r="T21" s="682">
        <v>186</v>
      </c>
      <c r="U21" s="683" t="s">
        <v>2</v>
      </c>
      <c r="V21" s="679" t="s">
        <v>740</v>
      </c>
      <c r="W21" s="680" t="s">
        <v>742</v>
      </c>
    </row>
    <row r="22" spans="1:23" x14ac:dyDescent="0.25">
      <c r="A22" s="679" t="s">
        <v>562</v>
      </c>
      <c r="B22" s="680" t="s">
        <v>413</v>
      </c>
      <c r="C22" s="680" t="s">
        <v>413</v>
      </c>
      <c r="D22" s="680" t="s">
        <v>631</v>
      </c>
      <c r="E22" s="680" t="s">
        <v>979</v>
      </c>
      <c r="F22" s="680" t="s">
        <v>604</v>
      </c>
      <c r="G22" s="680" t="s">
        <v>631</v>
      </c>
      <c r="H22" s="680" t="s">
        <v>667</v>
      </c>
      <c r="I22" s="680" t="s">
        <v>613</v>
      </c>
      <c r="J22" s="680" t="s">
        <v>660</v>
      </c>
      <c r="K22" s="680" t="s">
        <v>668</v>
      </c>
      <c r="L22" s="680" t="s">
        <v>609</v>
      </c>
      <c r="M22" s="681">
        <v>42906</v>
      </c>
      <c r="N22" s="680" t="s">
        <v>977</v>
      </c>
      <c r="O22" s="680" t="s">
        <v>989</v>
      </c>
      <c r="P22" s="680" t="s">
        <v>428</v>
      </c>
      <c r="Q22" s="681">
        <v>45505</v>
      </c>
      <c r="R22" s="681" t="s">
        <v>739</v>
      </c>
      <c r="S22" s="768">
        <v>104707.65</v>
      </c>
      <c r="T22" s="682">
        <v>121</v>
      </c>
      <c r="U22" s="683" t="s">
        <v>2</v>
      </c>
      <c r="V22" s="679" t="s">
        <v>740</v>
      </c>
      <c r="W22" s="680" t="s">
        <v>1389</v>
      </c>
    </row>
    <row r="23" spans="1:23" x14ac:dyDescent="0.25">
      <c r="A23" s="679" t="s">
        <v>563</v>
      </c>
      <c r="B23" s="680" t="s">
        <v>413</v>
      </c>
      <c r="C23" s="680" t="s">
        <v>413</v>
      </c>
      <c r="D23" s="680" t="s">
        <v>626</v>
      </c>
      <c r="E23" s="680" t="s">
        <v>979</v>
      </c>
      <c r="F23" s="680" t="s">
        <v>604</v>
      </c>
      <c r="G23" s="680" t="s">
        <v>626</v>
      </c>
      <c r="H23" s="680" t="s">
        <v>669</v>
      </c>
      <c r="I23" s="680" t="s">
        <v>613</v>
      </c>
      <c r="J23" s="680" t="s">
        <v>670</v>
      </c>
      <c r="K23" s="680" t="s">
        <v>671</v>
      </c>
      <c r="L23" s="680" t="s">
        <v>609</v>
      </c>
      <c r="M23" s="681">
        <v>42611</v>
      </c>
      <c r="N23" s="680" t="s">
        <v>977</v>
      </c>
      <c r="O23" s="680" t="s">
        <v>989</v>
      </c>
      <c r="P23" s="680" t="s">
        <v>428</v>
      </c>
      <c r="Q23" s="681">
        <v>45505</v>
      </c>
      <c r="R23" s="681" t="s">
        <v>739</v>
      </c>
      <c r="S23" s="768">
        <v>124822.39999999999</v>
      </c>
      <c r="T23" s="682">
        <v>184</v>
      </c>
      <c r="U23" s="683" t="s">
        <v>2</v>
      </c>
      <c r="V23" s="679" t="s">
        <v>740</v>
      </c>
      <c r="W23" s="680" t="s">
        <v>742</v>
      </c>
    </row>
    <row r="24" spans="1:23" x14ac:dyDescent="0.25">
      <c r="A24" s="679" t="s">
        <v>564</v>
      </c>
      <c r="B24" s="680" t="s">
        <v>413</v>
      </c>
      <c r="C24" s="680" t="s">
        <v>413</v>
      </c>
      <c r="D24" s="680" t="s">
        <v>631</v>
      </c>
      <c r="E24" s="680" t="s">
        <v>979</v>
      </c>
      <c r="F24" s="680" t="s">
        <v>604</v>
      </c>
      <c r="G24" s="680" t="s">
        <v>631</v>
      </c>
      <c r="H24" s="680" t="s">
        <v>672</v>
      </c>
      <c r="I24" s="680" t="s">
        <v>619</v>
      </c>
      <c r="J24" s="680">
        <v>5</v>
      </c>
      <c r="K24" s="680" t="s">
        <v>673</v>
      </c>
      <c r="L24" s="680" t="s">
        <v>609</v>
      </c>
      <c r="M24" s="681">
        <v>39784</v>
      </c>
      <c r="N24" s="680" t="s">
        <v>977</v>
      </c>
      <c r="O24" s="680" t="s">
        <v>992</v>
      </c>
      <c r="P24" s="680" t="s">
        <v>428</v>
      </c>
      <c r="Q24" s="681">
        <v>45505</v>
      </c>
      <c r="R24" s="681" t="s">
        <v>739</v>
      </c>
      <c r="S24" s="768">
        <v>122958.7</v>
      </c>
      <c r="T24" s="682">
        <v>194</v>
      </c>
      <c r="U24" s="683" t="s">
        <v>2</v>
      </c>
      <c r="V24" s="679" t="s">
        <v>740</v>
      </c>
      <c r="W24" s="680" t="s">
        <v>742</v>
      </c>
    </row>
    <row r="25" spans="1:23" x14ac:dyDescent="0.25">
      <c r="A25" s="679" t="s">
        <v>543</v>
      </c>
      <c r="B25" s="680" t="s">
        <v>413</v>
      </c>
      <c r="C25" s="680" t="s">
        <v>413</v>
      </c>
      <c r="D25" s="680" t="s">
        <v>1028</v>
      </c>
      <c r="E25" s="680" t="s">
        <v>979</v>
      </c>
      <c r="F25" s="680" t="s">
        <v>612</v>
      </c>
      <c r="G25" s="680" t="s">
        <v>1028</v>
      </c>
      <c r="H25" s="680" t="s">
        <v>667</v>
      </c>
      <c r="I25" s="680" t="s">
        <v>613</v>
      </c>
      <c r="J25" s="680" t="s">
        <v>674</v>
      </c>
      <c r="K25" s="680" t="s">
        <v>675</v>
      </c>
      <c r="L25" s="680" t="s">
        <v>609</v>
      </c>
      <c r="M25" s="681">
        <v>42916</v>
      </c>
      <c r="N25" s="680" t="s">
        <v>977</v>
      </c>
      <c r="O25" s="680" t="s">
        <v>978</v>
      </c>
      <c r="P25" s="680" t="s">
        <v>428</v>
      </c>
      <c r="Q25" s="681">
        <v>45505</v>
      </c>
      <c r="R25" s="681" t="s">
        <v>739</v>
      </c>
      <c r="S25" s="768">
        <v>95879.14</v>
      </c>
      <c r="T25" s="682">
        <v>180</v>
      </c>
      <c r="U25" s="683" t="s">
        <v>2</v>
      </c>
      <c r="V25" s="679" t="s">
        <v>740</v>
      </c>
      <c r="W25" s="680" t="s">
        <v>742</v>
      </c>
    </row>
    <row r="26" spans="1:23" x14ac:dyDescent="0.25">
      <c r="A26" s="679" t="s">
        <v>565</v>
      </c>
      <c r="B26" s="680" t="s">
        <v>413</v>
      </c>
      <c r="C26" s="680" t="s">
        <v>413</v>
      </c>
      <c r="D26" s="680" t="s">
        <v>626</v>
      </c>
      <c r="E26" s="680" t="s">
        <v>979</v>
      </c>
      <c r="F26" s="680" t="s">
        <v>604</v>
      </c>
      <c r="G26" s="680" t="s">
        <v>626</v>
      </c>
      <c r="H26" s="680" t="s">
        <v>669</v>
      </c>
      <c r="I26" s="680" t="s">
        <v>613</v>
      </c>
      <c r="J26" s="680" t="s">
        <v>650</v>
      </c>
      <c r="K26" s="680" t="s">
        <v>676</v>
      </c>
      <c r="L26" s="680" t="s">
        <v>654</v>
      </c>
      <c r="M26" s="681">
        <v>42711</v>
      </c>
      <c r="N26" s="680" t="s">
        <v>977</v>
      </c>
      <c r="O26" s="680" t="s">
        <v>978</v>
      </c>
      <c r="P26" s="680" t="s">
        <v>428</v>
      </c>
      <c r="Q26" s="681">
        <v>45505</v>
      </c>
      <c r="R26" s="681" t="s">
        <v>739</v>
      </c>
      <c r="S26" s="768">
        <v>149678.6</v>
      </c>
      <c r="T26" s="682">
        <v>173</v>
      </c>
      <c r="U26" s="683" t="s">
        <v>2</v>
      </c>
      <c r="V26" s="679" t="s">
        <v>740</v>
      </c>
      <c r="W26" s="680" t="s">
        <v>742</v>
      </c>
    </row>
    <row r="27" spans="1:23" x14ac:dyDescent="0.25">
      <c r="A27" s="679" t="s">
        <v>566</v>
      </c>
      <c r="B27" s="680" t="s">
        <v>413</v>
      </c>
      <c r="C27" s="680" t="s">
        <v>413</v>
      </c>
      <c r="D27" s="680" t="s">
        <v>603</v>
      </c>
      <c r="E27" s="680" t="s">
        <v>979</v>
      </c>
      <c r="F27" s="680" t="s">
        <v>604</v>
      </c>
      <c r="G27" s="680" t="s">
        <v>603</v>
      </c>
      <c r="H27" s="680" t="s">
        <v>642</v>
      </c>
      <c r="I27" s="680" t="s">
        <v>608</v>
      </c>
      <c r="J27" s="680" t="s">
        <v>677</v>
      </c>
      <c r="K27" s="680" t="s">
        <v>678</v>
      </c>
      <c r="L27" s="680" t="s">
        <v>609</v>
      </c>
      <c r="M27" s="681">
        <v>43805</v>
      </c>
      <c r="N27" s="680" t="s">
        <v>987</v>
      </c>
      <c r="O27" s="680" t="s">
        <v>988</v>
      </c>
      <c r="P27" s="680" t="s">
        <v>428</v>
      </c>
      <c r="Q27" s="681">
        <v>45505</v>
      </c>
      <c r="R27" s="681" t="s">
        <v>739</v>
      </c>
      <c r="S27" s="768">
        <v>85917.46</v>
      </c>
      <c r="T27" s="682">
        <v>32</v>
      </c>
      <c r="U27" s="683" t="s">
        <v>2</v>
      </c>
      <c r="V27" s="679" t="s">
        <v>981</v>
      </c>
      <c r="W27" s="680" t="s">
        <v>742</v>
      </c>
    </row>
    <row r="28" spans="1:23" x14ac:dyDescent="0.25">
      <c r="A28" s="679" t="s">
        <v>567</v>
      </c>
      <c r="B28" s="680" t="s">
        <v>413</v>
      </c>
      <c r="C28" s="680" t="s">
        <v>413</v>
      </c>
      <c r="D28" s="680" t="s">
        <v>631</v>
      </c>
      <c r="E28" s="680" t="s">
        <v>979</v>
      </c>
      <c r="F28" s="680" t="s">
        <v>604</v>
      </c>
      <c r="G28" s="680" t="s">
        <v>631</v>
      </c>
      <c r="H28" s="680" t="s">
        <v>664</v>
      </c>
      <c r="I28" s="680" t="s">
        <v>619</v>
      </c>
      <c r="J28" s="680" t="s">
        <v>657</v>
      </c>
      <c r="K28" s="680" t="s">
        <v>679</v>
      </c>
      <c r="L28" s="680" t="s">
        <v>609</v>
      </c>
      <c r="M28" s="681">
        <v>40030</v>
      </c>
      <c r="N28" s="680" t="s">
        <v>977</v>
      </c>
      <c r="O28" s="680" t="s">
        <v>992</v>
      </c>
      <c r="P28" s="680" t="s">
        <v>428</v>
      </c>
      <c r="Q28" s="681">
        <v>45505</v>
      </c>
      <c r="R28" s="681" t="s">
        <v>739</v>
      </c>
      <c r="S28" s="768">
        <v>76681.7</v>
      </c>
      <c r="T28" s="682">
        <v>186</v>
      </c>
      <c r="U28" s="683" t="s">
        <v>2</v>
      </c>
      <c r="V28" s="679" t="s">
        <v>740</v>
      </c>
      <c r="W28" s="680" t="s">
        <v>742</v>
      </c>
    </row>
    <row r="29" spans="1:23" x14ac:dyDescent="0.25">
      <c r="A29" s="679" t="s">
        <v>856</v>
      </c>
      <c r="B29" s="680" t="s">
        <v>413</v>
      </c>
      <c r="C29" s="680" t="s">
        <v>413</v>
      </c>
      <c r="D29" s="680" t="s">
        <v>985</v>
      </c>
      <c r="E29" s="680" t="s">
        <v>541</v>
      </c>
      <c r="F29" s="680" t="s">
        <v>604</v>
      </c>
      <c r="G29" s="680" t="s">
        <v>985</v>
      </c>
      <c r="H29" s="680" t="s">
        <v>605</v>
      </c>
      <c r="I29" s="680" t="s">
        <v>605</v>
      </c>
      <c r="J29" s="680"/>
      <c r="K29" s="680"/>
      <c r="L29" s="680" t="s">
        <v>606</v>
      </c>
      <c r="M29" s="681"/>
      <c r="N29" s="680" t="s">
        <v>697</v>
      </c>
      <c r="O29" s="680" t="s">
        <v>698</v>
      </c>
      <c r="P29" s="680" t="s">
        <v>698</v>
      </c>
      <c r="Q29" s="681">
        <v>45505</v>
      </c>
      <c r="R29" s="681" t="s">
        <v>739</v>
      </c>
      <c r="S29" s="768">
        <v>63061.97</v>
      </c>
      <c r="T29" s="682">
        <v>4</v>
      </c>
      <c r="U29" s="683" t="s">
        <v>2</v>
      </c>
      <c r="V29" s="679" t="s">
        <v>740</v>
      </c>
      <c r="W29" s="680"/>
    </row>
    <row r="30" spans="1:23" x14ac:dyDescent="0.25">
      <c r="A30" s="679" t="s">
        <v>568</v>
      </c>
      <c r="B30" s="680" t="s">
        <v>413</v>
      </c>
      <c r="C30" s="680" t="s">
        <v>413</v>
      </c>
      <c r="D30" s="680" t="s">
        <v>603</v>
      </c>
      <c r="E30" s="680" t="s">
        <v>979</v>
      </c>
      <c r="F30" s="680" t="s">
        <v>604</v>
      </c>
      <c r="G30" s="680" t="s">
        <v>603</v>
      </c>
      <c r="H30" s="680" t="s">
        <v>664</v>
      </c>
      <c r="I30" s="680" t="s">
        <v>619</v>
      </c>
      <c r="J30" s="680" t="s">
        <v>657</v>
      </c>
      <c r="K30" s="680" t="s">
        <v>680</v>
      </c>
      <c r="L30" s="680" t="s">
        <v>609</v>
      </c>
      <c r="M30" s="681">
        <v>40029</v>
      </c>
      <c r="N30" s="680" t="s">
        <v>977</v>
      </c>
      <c r="O30" s="680" t="s">
        <v>978</v>
      </c>
      <c r="P30" s="680" t="s">
        <v>428</v>
      </c>
      <c r="Q30" s="681">
        <v>45505</v>
      </c>
      <c r="R30" s="681" t="s">
        <v>739</v>
      </c>
      <c r="S30" s="768">
        <v>71734.87</v>
      </c>
      <c r="T30" s="682">
        <v>146</v>
      </c>
      <c r="U30" s="683" t="s">
        <v>2</v>
      </c>
      <c r="V30" s="679" t="s">
        <v>740</v>
      </c>
      <c r="W30" s="680" t="s">
        <v>742</v>
      </c>
    </row>
    <row r="31" spans="1:23" x14ac:dyDescent="0.25">
      <c r="A31" s="679" t="s">
        <v>569</v>
      </c>
      <c r="B31" s="680" t="s">
        <v>413</v>
      </c>
      <c r="C31" s="680" t="s">
        <v>413</v>
      </c>
      <c r="D31" s="680" t="s">
        <v>623</v>
      </c>
      <c r="E31" s="680" t="s">
        <v>624</v>
      </c>
      <c r="F31" s="680" t="s">
        <v>604</v>
      </c>
      <c r="G31" s="680" t="s">
        <v>623</v>
      </c>
      <c r="H31" s="680" t="s">
        <v>993</v>
      </c>
      <c r="I31" s="680" t="s">
        <v>608</v>
      </c>
      <c r="J31" s="680" t="s">
        <v>677</v>
      </c>
      <c r="K31" s="680" t="s">
        <v>681</v>
      </c>
      <c r="L31" s="680" t="s">
        <v>609</v>
      </c>
      <c r="M31" s="681">
        <v>44440</v>
      </c>
      <c r="N31" s="680" t="s">
        <v>610</v>
      </c>
      <c r="O31" s="680" t="s">
        <v>999</v>
      </c>
      <c r="P31" s="680" t="s">
        <v>428</v>
      </c>
      <c r="Q31" s="681">
        <v>45505</v>
      </c>
      <c r="R31" s="681" t="s">
        <v>739</v>
      </c>
      <c r="S31" s="768">
        <v>104333.18</v>
      </c>
      <c r="T31" s="682">
        <v>67</v>
      </c>
      <c r="U31" s="683" t="s">
        <v>2</v>
      </c>
      <c r="V31" s="679" t="s">
        <v>981</v>
      </c>
      <c r="W31" s="680" t="s">
        <v>742</v>
      </c>
    </row>
    <row r="32" spans="1:23" x14ac:dyDescent="0.25">
      <c r="A32" s="679" t="s">
        <v>570</v>
      </c>
      <c r="B32" s="680" t="s">
        <v>413</v>
      </c>
      <c r="C32" s="680" t="s">
        <v>413</v>
      </c>
      <c r="D32" s="680" t="s">
        <v>985</v>
      </c>
      <c r="E32" s="680" t="s">
        <v>541</v>
      </c>
      <c r="F32" s="680" t="s">
        <v>604</v>
      </c>
      <c r="G32" s="680" t="s">
        <v>985</v>
      </c>
      <c r="H32" s="680" t="s">
        <v>642</v>
      </c>
      <c r="I32" s="680" t="s">
        <v>613</v>
      </c>
      <c r="J32" s="680" t="s">
        <v>665</v>
      </c>
      <c r="K32" s="680" t="s">
        <v>682</v>
      </c>
      <c r="L32" s="680" t="s">
        <v>609</v>
      </c>
      <c r="M32" s="681">
        <v>42615</v>
      </c>
      <c r="N32" s="680" t="s">
        <v>610</v>
      </c>
      <c r="O32" s="680" t="s">
        <v>648</v>
      </c>
      <c r="P32" s="680" t="s">
        <v>428</v>
      </c>
      <c r="Q32" s="681">
        <v>45505</v>
      </c>
      <c r="R32" s="681" t="s">
        <v>739</v>
      </c>
      <c r="S32" s="768">
        <v>77679.990000000005</v>
      </c>
      <c r="T32" s="682">
        <v>196</v>
      </c>
      <c r="U32" s="683" t="s">
        <v>2</v>
      </c>
      <c r="V32" s="679" t="s">
        <v>981</v>
      </c>
      <c r="W32" s="680" t="s">
        <v>742</v>
      </c>
    </row>
    <row r="33" spans="1:23" x14ac:dyDescent="0.25">
      <c r="A33" s="679" t="s">
        <v>866</v>
      </c>
      <c r="B33" s="680" t="s">
        <v>413</v>
      </c>
      <c r="C33" s="680" t="s">
        <v>413</v>
      </c>
      <c r="D33" s="680" t="s">
        <v>631</v>
      </c>
      <c r="E33" s="680" t="s">
        <v>979</v>
      </c>
      <c r="F33" s="680" t="s">
        <v>612</v>
      </c>
      <c r="G33" s="680" t="s">
        <v>631</v>
      </c>
      <c r="H33" s="680" t="s">
        <v>618</v>
      </c>
      <c r="I33" s="680" t="s">
        <v>605</v>
      </c>
      <c r="J33" s="680"/>
      <c r="K33" s="680"/>
      <c r="L33" s="680" t="s">
        <v>606</v>
      </c>
      <c r="M33" s="681"/>
      <c r="N33" s="680" t="s">
        <v>994</v>
      </c>
      <c r="O33" s="680" t="s">
        <v>995</v>
      </c>
      <c r="P33" s="680" t="s">
        <v>950</v>
      </c>
      <c r="Q33" s="681">
        <v>45505</v>
      </c>
      <c r="R33" s="681" t="s">
        <v>739</v>
      </c>
      <c r="S33" s="768">
        <v>44227.8</v>
      </c>
      <c r="T33" s="682">
        <v>20</v>
      </c>
      <c r="U33" s="683" t="s">
        <v>2</v>
      </c>
      <c r="V33" s="679" t="s">
        <v>740</v>
      </c>
      <c r="W33" s="680" t="s">
        <v>742</v>
      </c>
    </row>
    <row r="34" spans="1:23" x14ac:dyDescent="0.25">
      <c r="A34" s="679" t="s">
        <v>571</v>
      </c>
      <c r="B34" s="680" t="s">
        <v>413</v>
      </c>
      <c r="C34" s="680" t="s">
        <v>413</v>
      </c>
      <c r="D34" s="680" t="s">
        <v>626</v>
      </c>
      <c r="E34" s="680" t="s">
        <v>979</v>
      </c>
      <c r="F34" s="680" t="s">
        <v>604</v>
      </c>
      <c r="G34" s="680" t="s">
        <v>626</v>
      </c>
      <c r="H34" s="680" t="s">
        <v>683</v>
      </c>
      <c r="I34" s="680" t="s">
        <v>619</v>
      </c>
      <c r="J34" s="680" t="s">
        <v>684</v>
      </c>
      <c r="K34" s="680" t="s">
        <v>685</v>
      </c>
      <c r="L34" s="680" t="s">
        <v>654</v>
      </c>
      <c r="M34" s="681">
        <v>43615</v>
      </c>
      <c r="N34" s="680" t="s">
        <v>994</v>
      </c>
      <c r="O34" s="680" t="s">
        <v>996</v>
      </c>
      <c r="P34" s="680" t="s">
        <v>428</v>
      </c>
      <c r="Q34" s="681">
        <v>45505</v>
      </c>
      <c r="R34" s="681" t="s">
        <v>739</v>
      </c>
      <c r="S34" s="768">
        <v>65390.13</v>
      </c>
      <c r="T34" s="682">
        <v>41</v>
      </c>
      <c r="U34" s="683" t="s">
        <v>2</v>
      </c>
      <c r="V34" s="679" t="s">
        <v>740</v>
      </c>
      <c r="W34" s="680" t="s">
        <v>742</v>
      </c>
    </row>
    <row r="35" spans="1:23" x14ac:dyDescent="0.25">
      <c r="A35" s="679" t="s">
        <v>572</v>
      </c>
      <c r="B35" s="680" t="s">
        <v>413</v>
      </c>
      <c r="C35" s="680" t="s">
        <v>413</v>
      </c>
      <c r="D35" s="680" t="s">
        <v>603</v>
      </c>
      <c r="E35" s="680" t="s">
        <v>979</v>
      </c>
      <c r="F35" s="680" t="s">
        <v>604</v>
      </c>
      <c r="G35" s="680" t="s">
        <v>603</v>
      </c>
      <c r="H35" s="680" t="s">
        <v>627</v>
      </c>
      <c r="I35" s="680" t="s">
        <v>625</v>
      </c>
      <c r="J35" s="680" t="s">
        <v>686</v>
      </c>
      <c r="K35" s="680" t="s">
        <v>687</v>
      </c>
      <c r="L35" s="680" t="s">
        <v>616</v>
      </c>
      <c r="M35" s="681">
        <v>42950</v>
      </c>
      <c r="N35" s="680" t="s">
        <v>610</v>
      </c>
      <c r="O35" s="680" t="s">
        <v>611</v>
      </c>
      <c r="P35" s="680" t="s">
        <v>428</v>
      </c>
      <c r="Q35" s="681">
        <v>45505</v>
      </c>
      <c r="R35" s="681" t="s">
        <v>739</v>
      </c>
      <c r="S35" s="768">
        <v>62150.94</v>
      </c>
      <c r="T35" s="682">
        <v>100</v>
      </c>
      <c r="U35" s="683" t="s">
        <v>2</v>
      </c>
      <c r="V35" s="679" t="s">
        <v>981</v>
      </c>
      <c r="W35" s="680" t="s">
        <v>742</v>
      </c>
    </row>
    <row r="36" spans="1:23" x14ac:dyDescent="0.25">
      <c r="A36" s="679" t="s">
        <v>573</v>
      </c>
      <c r="B36" s="680" t="s">
        <v>413</v>
      </c>
      <c r="C36" s="680" t="s">
        <v>413</v>
      </c>
      <c r="D36" s="680" t="s">
        <v>985</v>
      </c>
      <c r="E36" s="680" t="s">
        <v>979</v>
      </c>
      <c r="F36" s="680" t="s">
        <v>604</v>
      </c>
      <c r="G36" s="680" t="s">
        <v>985</v>
      </c>
      <c r="H36" s="680" t="s">
        <v>997</v>
      </c>
      <c r="I36" s="680" t="s">
        <v>608</v>
      </c>
      <c r="J36" s="680" t="s">
        <v>688</v>
      </c>
      <c r="K36" s="680" t="s">
        <v>689</v>
      </c>
      <c r="L36" s="680" t="s">
        <v>609</v>
      </c>
      <c r="M36" s="681">
        <v>44757</v>
      </c>
      <c r="N36" s="680" t="s">
        <v>610</v>
      </c>
      <c r="O36" s="680" t="s">
        <v>611</v>
      </c>
      <c r="P36" s="680" t="s">
        <v>428</v>
      </c>
      <c r="Q36" s="681">
        <v>45505</v>
      </c>
      <c r="R36" s="681" t="s">
        <v>739</v>
      </c>
      <c r="S36" s="768">
        <v>41173.35</v>
      </c>
      <c r="T36" s="682">
        <v>12</v>
      </c>
      <c r="U36" s="683" t="s">
        <v>2</v>
      </c>
      <c r="V36" s="679" t="s">
        <v>981</v>
      </c>
      <c r="W36" s="680" t="s">
        <v>742</v>
      </c>
    </row>
    <row r="37" spans="1:23" x14ac:dyDescent="0.25">
      <c r="A37" s="679" t="s">
        <v>885</v>
      </c>
      <c r="B37" s="680" t="s">
        <v>413</v>
      </c>
      <c r="C37" s="680" t="s">
        <v>413</v>
      </c>
      <c r="D37" s="680" t="s">
        <v>985</v>
      </c>
      <c r="E37" s="680" t="s">
        <v>541</v>
      </c>
      <c r="F37" s="680" t="s">
        <v>604</v>
      </c>
      <c r="G37" s="680" t="s">
        <v>985</v>
      </c>
      <c r="H37" s="680" t="s">
        <v>605</v>
      </c>
      <c r="I37" s="680" t="s">
        <v>605</v>
      </c>
      <c r="J37" s="680"/>
      <c r="K37" s="680"/>
      <c r="L37" s="680" t="s">
        <v>606</v>
      </c>
      <c r="M37" s="681"/>
      <c r="N37" s="680" t="s">
        <v>539</v>
      </c>
      <c r="O37" s="680" t="s">
        <v>429</v>
      </c>
      <c r="P37" s="680" t="s">
        <v>430</v>
      </c>
      <c r="Q37" s="681">
        <v>45505</v>
      </c>
      <c r="R37" s="681" t="s">
        <v>739</v>
      </c>
      <c r="S37" s="768">
        <v>38363.050000000003</v>
      </c>
      <c r="T37" s="682">
        <v>7</v>
      </c>
      <c r="U37" s="683" t="s">
        <v>2</v>
      </c>
      <c r="V37" s="679" t="s">
        <v>981</v>
      </c>
      <c r="W37" s="680"/>
    </row>
    <row r="38" spans="1:23" x14ac:dyDescent="0.25">
      <c r="A38" s="679" t="s">
        <v>574</v>
      </c>
      <c r="B38" s="680" t="s">
        <v>413</v>
      </c>
      <c r="C38" s="680" t="s">
        <v>413</v>
      </c>
      <c r="D38" s="680" t="s">
        <v>1390</v>
      </c>
      <c r="E38" s="680" t="s">
        <v>979</v>
      </c>
      <c r="F38" s="680" t="s">
        <v>604</v>
      </c>
      <c r="G38" s="680" t="s">
        <v>1390</v>
      </c>
      <c r="H38" s="680" t="s">
        <v>997</v>
      </c>
      <c r="I38" s="680" t="s">
        <v>608</v>
      </c>
      <c r="J38" s="680" t="s">
        <v>688</v>
      </c>
      <c r="K38" s="680" t="s">
        <v>692</v>
      </c>
      <c r="L38" s="680" t="s">
        <v>609</v>
      </c>
      <c r="M38" s="681">
        <v>44757</v>
      </c>
      <c r="N38" s="680" t="s">
        <v>977</v>
      </c>
      <c r="O38" s="680" t="s">
        <v>978</v>
      </c>
      <c r="P38" s="680" t="s">
        <v>428</v>
      </c>
      <c r="Q38" s="681">
        <v>45505</v>
      </c>
      <c r="R38" s="681" t="s">
        <v>739</v>
      </c>
      <c r="S38" s="768">
        <v>51243.38</v>
      </c>
      <c r="T38" s="682">
        <v>66</v>
      </c>
      <c r="U38" s="683" t="s">
        <v>2</v>
      </c>
      <c r="V38" s="679" t="s">
        <v>740</v>
      </c>
      <c r="W38" s="680" t="s">
        <v>742</v>
      </c>
    </row>
    <row r="39" spans="1:23" x14ac:dyDescent="0.25">
      <c r="A39" s="679" t="s">
        <v>544</v>
      </c>
      <c r="B39" s="680" t="s">
        <v>413</v>
      </c>
      <c r="C39" s="680" t="s">
        <v>413</v>
      </c>
      <c r="D39" s="680" t="s">
        <v>603</v>
      </c>
      <c r="E39" s="680" t="s">
        <v>979</v>
      </c>
      <c r="F39" s="680" t="s">
        <v>604</v>
      </c>
      <c r="G39" s="680" t="s">
        <v>603</v>
      </c>
      <c r="H39" s="680" t="s">
        <v>690</v>
      </c>
      <c r="I39" s="680" t="s">
        <v>691</v>
      </c>
      <c r="J39" s="680" t="s">
        <v>998</v>
      </c>
      <c r="K39" s="680" t="s">
        <v>693</v>
      </c>
      <c r="L39" s="680" t="s">
        <v>609</v>
      </c>
      <c r="M39" s="681">
        <v>42934</v>
      </c>
      <c r="N39" s="680" t="s">
        <v>977</v>
      </c>
      <c r="O39" s="680" t="s">
        <v>989</v>
      </c>
      <c r="P39" s="680" t="s">
        <v>428</v>
      </c>
      <c r="Q39" s="681">
        <v>45505</v>
      </c>
      <c r="R39" s="681" t="s">
        <v>739</v>
      </c>
      <c r="S39" s="768">
        <v>56924.56</v>
      </c>
      <c r="T39" s="682">
        <v>99</v>
      </c>
      <c r="U39" s="683" t="s">
        <v>2</v>
      </c>
      <c r="V39" s="679" t="s">
        <v>740</v>
      </c>
      <c r="W39" s="680" t="s">
        <v>742</v>
      </c>
    </row>
    <row r="40" spans="1:23" x14ac:dyDescent="0.25">
      <c r="A40" s="679" t="s">
        <v>888</v>
      </c>
      <c r="B40" s="680" t="s">
        <v>413</v>
      </c>
      <c r="C40" s="680" t="s">
        <v>413</v>
      </c>
      <c r="D40" s="680" t="s">
        <v>985</v>
      </c>
      <c r="E40" s="680" t="s">
        <v>541</v>
      </c>
      <c r="F40" s="680" t="s">
        <v>604</v>
      </c>
      <c r="G40" s="680" t="s">
        <v>985</v>
      </c>
      <c r="H40" s="680" t="s">
        <v>605</v>
      </c>
      <c r="I40" s="680" t="s">
        <v>605</v>
      </c>
      <c r="J40" s="680"/>
      <c r="K40" s="680"/>
      <c r="L40" s="680" t="s">
        <v>606</v>
      </c>
      <c r="M40" s="681"/>
      <c r="N40" s="680" t="s">
        <v>697</v>
      </c>
      <c r="O40" s="680" t="s">
        <v>698</v>
      </c>
      <c r="P40" s="680" t="s">
        <v>698</v>
      </c>
      <c r="Q40" s="681">
        <v>45505</v>
      </c>
      <c r="R40" s="681" t="s">
        <v>739</v>
      </c>
      <c r="S40" s="768">
        <v>35422.230000000003</v>
      </c>
      <c r="T40" s="682">
        <v>5</v>
      </c>
      <c r="U40" s="683" t="s">
        <v>2</v>
      </c>
      <c r="V40" s="679" t="s">
        <v>740</v>
      </c>
      <c r="W40" s="680"/>
    </row>
    <row r="41" spans="1:23" x14ac:dyDescent="0.25">
      <c r="A41" s="679" t="s">
        <v>575</v>
      </c>
      <c r="B41" s="680" t="s">
        <v>413</v>
      </c>
      <c r="C41" s="680" t="s">
        <v>413</v>
      </c>
      <c r="D41" s="680" t="s">
        <v>631</v>
      </c>
      <c r="E41" s="680" t="s">
        <v>541</v>
      </c>
      <c r="F41" s="680" t="s">
        <v>604</v>
      </c>
      <c r="G41" s="680" t="s">
        <v>631</v>
      </c>
      <c r="H41" s="680" t="s">
        <v>639</v>
      </c>
      <c r="I41" s="680" t="s">
        <v>619</v>
      </c>
      <c r="J41" s="680">
        <v>1</v>
      </c>
      <c r="K41" s="680" t="s">
        <v>694</v>
      </c>
      <c r="L41" s="680" t="s">
        <v>609</v>
      </c>
      <c r="M41" s="681">
        <v>42642</v>
      </c>
      <c r="N41" s="680" t="s">
        <v>610</v>
      </c>
      <c r="O41" s="680" t="s">
        <v>999</v>
      </c>
      <c r="P41" s="680" t="s">
        <v>428</v>
      </c>
      <c r="Q41" s="681">
        <v>45505</v>
      </c>
      <c r="R41" s="681" t="s">
        <v>739</v>
      </c>
      <c r="S41" s="768">
        <v>72765.31</v>
      </c>
      <c r="T41" s="682">
        <v>173</v>
      </c>
      <c r="U41" s="683" t="s">
        <v>2</v>
      </c>
      <c r="V41" s="679" t="s">
        <v>981</v>
      </c>
      <c r="W41" s="680" t="s">
        <v>742</v>
      </c>
    </row>
    <row r="42" spans="1:23" x14ac:dyDescent="0.25">
      <c r="A42" s="679" t="s">
        <v>427</v>
      </c>
      <c r="B42" s="680" t="s">
        <v>413</v>
      </c>
      <c r="C42" s="680" t="s">
        <v>413</v>
      </c>
      <c r="D42" s="680" t="s">
        <v>603</v>
      </c>
      <c r="E42" s="680" t="s">
        <v>541</v>
      </c>
      <c r="F42" s="680" t="s">
        <v>604</v>
      </c>
      <c r="G42" s="680" t="s">
        <v>603</v>
      </c>
      <c r="H42" s="680" t="s">
        <v>605</v>
      </c>
      <c r="I42" s="680" t="s">
        <v>605</v>
      </c>
      <c r="J42" s="680"/>
      <c r="K42" s="680"/>
      <c r="L42" s="680" t="s">
        <v>699</v>
      </c>
      <c r="M42" s="681"/>
      <c r="N42" s="680" t="s">
        <v>539</v>
      </c>
      <c r="O42" s="680" t="s">
        <v>429</v>
      </c>
      <c r="P42" s="680" t="s">
        <v>430</v>
      </c>
      <c r="Q42" s="681">
        <v>45505</v>
      </c>
      <c r="R42" s="681" t="s">
        <v>739</v>
      </c>
      <c r="S42" s="768">
        <v>53044.94</v>
      </c>
      <c r="T42" s="682">
        <v>96</v>
      </c>
      <c r="U42" s="683" t="s">
        <v>2</v>
      </c>
      <c r="V42" s="679" t="s">
        <v>981</v>
      </c>
      <c r="W42" s="680" t="s">
        <v>741</v>
      </c>
    </row>
    <row r="43" spans="1:23" x14ac:dyDescent="0.25">
      <c r="A43" s="679" t="s">
        <v>577</v>
      </c>
      <c r="B43" s="680" t="s">
        <v>413</v>
      </c>
      <c r="C43" s="680" t="s">
        <v>413</v>
      </c>
      <c r="D43" s="680" t="s">
        <v>626</v>
      </c>
      <c r="E43" s="680" t="s">
        <v>541</v>
      </c>
      <c r="F43" s="680" t="s">
        <v>604</v>
      </c>
      <c r="G43" s="680" t="s">
        <v>626</v>
      </c>
      <c r="H43" s="680" t="s">
        <v>702</v>
      </c>
      <c r="I43" s="680" t="s">
        <v>619</v>
      </c>
      <c r="J43" s="680">
        <v>2</v>
      </c>
      <c r="K43" s="680" t="s">
        <v>703</v>
      </c>
      <c r="L43" s="680" t="s">
        <v>609</v>
      </c>
      <c r="M43" s="681">
        <v>40639</v>
      </c>
      <c r="N43" s="680" t="s">
        <v>977</v>
      </c>
      <c r="O43" s="680" t="s">
        <v>1026</v>
      </c>
      <c r="P43" s="680" t="s">
        <v>428</v>
      </c>
      <c r="Q43" s="681">
        <v>45505</v>
      </c>
      <c r="R43" s="681" t="s">
        <v>739</v>
      </c>
      <c r="S43" s="768">
        <v>77178.36</v>
      </c>
      <c r="T43" s="682">
        <v>223</v>
      </c>
      <c r="U43" s="683" t="s">
        <v>2</v>
      </c>
      <c r="V43" s="679" t="s">
        <v>740</v>
      </c>
      <c r="W43" s="680" t="s">
        <v>742</v>
      </c>
    </row>
    <row r="44" spans="1:23" x14ac:dyDescent="0.25">
      <c r="A44" s="679" t="s">
        <v>578</v>
      </c>
      <c r="B44" s="680" t="s">
        <v>413</v>
      </c>
      <c r="C44" s="680" t="s">
        <v>413</v>
      </c>
      <c r="D44" s="680" t="s">
        <v>985</v>
      </c>
      <c r="E44" s="680" t="s">
        <v>979</v>
      </c>
      <c r="F44" s="680" t="s">
        <v>604</v>
      </c>
      <c r="G44" s="680" t="s">
        <v>985</v>
      </c>
      <c r="H44" s="680" t="s">
        <v>607</v>
      </c>
      <c r="I44" s="680" t="s">
        <v>619</v>
      </c>
      <c r="J44" s="680" t="s">
        <v>704</v>
      </c>
      <c r="K44" s="680" t="s">
        <v>705</v>
      </c>
      <c r="L44" s="680" t="s">
        <v>654</v>
      </c>
      <c r="M44" s="681">
        <v>43798</v>
      </c>
      <c r="N44" s="680" t="s">
        <v>610</v>
      </c>
      <c r="O44" s="680" t="s">
        <v>648</v>
      </c>
      <c r="P44" s="680" t="s">
        <v>428</v>
      </c>
      <c r="Q44" s="681">
        <v>45505</v>
      </c>
      <c r="R44" s="681" t="s">
        <v>739</v>
      </c>
      <c r="S44" s="768">
        <v>51093.78</v>
      </c>
      <c r="T44" s="682">
        <v>77</v>
      </c>
      <c r="U44" s="683" t="s">
        <v>2</v>
      </c>
      <c r="V44" s="679" t="s">
        <v>981</v>
      </c>
      <c r="W44" s="680" t="s">
        <v>742</v>
      </c>
    </row>
    <row r="45" spans="1:23" x14ac:dyDescent="0.25">
      <c r="A45" s="679" t="s">
        <v>579</v>
      </c>
      <c r="B45" s="680" t="s">
        <v>413</v>
      </c>
      <c r="C45" s="680" t="s">
        <v>413</v>
      </c>
      <c r="D45" s="680" t="s">
        <v>603</v>
      </c>
      <c r="E45" s="680" t="s">
        <v>979</v>
      </c>
      <c r="F45" s="680" t="s">
        <v>604</v>
      </c>
      <c r="G45" s="680" t="s">
        <v>603</v>
      </c>
      <c r="H45" s="680" t="s">
        <v>607</v>
      </c>
      <c r="I45" s="680" t="s">
        <v>619</v>
      </c>
      <c r="J45" s="680" t="s">
        <v>706</v>
      </c>
      <c r="K45" s="680" t="s">
        <v>707</v>
      </c>
      <c r="L45" s="680" t="s">
        <v>609</v>
      </c>
      <c r="M45" s="681">
        <v>44756</v>
      </c>
      <c r="N45" s="680" t="s">
        <v>610</v>
      </c>
      <c r="O45" s="680" t="s">
        <v>611</v>
      </c>
      <c r="P45" s="680" t="s">
        <v>428</v>
      </c>
      <c r="Q45" s="681">
        <v>45505</v>
      </c>
      <c r="R45" s="681" t="s">
        <v>739</v>
      </c>
      <c r="S45" s="768">
        <v>35116.18</v>
      </c>
      <c r="T45" s="682">
        <v>53</v>
      </c>
      <c r="U45" s="683" t="s">
        <v>2</v>
      </c>
      <c r="V45" s="679" t="s">
        <v>981</v>
      </c>
      <c r="W45" s="680" t="s">
        <v>742</v>
      </c>
    </row>
    <row r="46" spans="1:23" x14ac:dyDescent="0.25">
      <c r="A46" s="679" t="s">
        <v>580</v>
      </c>
      <c r="B46" s="680" t="s">
        <v>413</v>
      </c>
      <c r="C46" s="680" t="s">
        <v>413</v>
      </c>
      <c r="D46" s="680" t="s">
        <v>603</v>
      </c>
      <c r="E46" s="680" t="s">
        <v>979</v>
      </c>
      <c r="F46" s="680" t="s">
        <v>604</v>
      </c>
      <c r="G46" s="680" t="s">
        <v>603</v>
      </c>
      <c r="H46" s="680" t="s">
        <v>605</v>
      </c>
      <c r="I46" s="680" t="s">
        <v>605</v>
      </c>
      <c r="J46" s="680"/>
      <c r="K46" s="680"/>
      <c r="L46" s="680" t="s">
        <v>606</v>
      </c>
      <c r="M46" s="681"/>
      <c r="N46" s="680" t="s">
        <v>1391</v>
      </c>
      <c r="O46" s="680" t="s">
        <v>1392</v>
      </c>
      <c r="P46" s="680" t="s">
        <v>430</v>
      </c>
      <c r="Q46" s="681">
        <v>45505</v>
      </c>
      <c r="R46" s="681" t="s">
        <v>739</v>
      </c>
      <c r="S46" s="768">
        <v>43582.13</v>
      </c>
      <c r="T46" s="682">
        <v>31</v>
      </c>
      <c r="U46" s="683" t="s">
        <v>2</v>
      </c>
      <c r="V46" s="679" t="s">
        <v>981</v>
      </c>
      <c r="W46" s="680" t="s">
        <v>741</v>
      </c>
    </row>
    <row r="47" spans="1:23" x14ac:dyDescent="0.25">
      <c r="A47" s="679" t="s">
        <v>581</v>
      </c>
      <c r="B47" s="680" t="s">
        <v>413</v>
      </c>
      <c r="C47" s="680" t="s">
        <v>413</v>
      </c>
      <c r="D47" s="680" t="s">
        <v>985</v>
      </c>
      <c r="E47" s="680" t="s">
        <v>979</v>
      </c>
      <c r="F47" s="680" t="s">
        <v>604</v>
      </c>
      <c r="G47" s="680" t="s">
        <v>985</v>
      </c>
      <c r="H47" s="680" t="s">
        <v>605</v>
      </c>
      <c r="I47" s="680" t="s">
        <v>605</v>
      </c>
      <c r="J47" s="680"/>
      <c r="K47" s="680"/>
      <c r="L47" s="680" t="s">
        <v>606</v>
      </c>
      <c r="M47" s="681"/>
      <c r="N47" s="680" t="s">
        <v>539</v>
      </c>
      <c r="O47" s="680" t="s">
        <v>429</v>
      </c>
      <c r="P47" s="680" t="s">
        <v>430</v>
      </c>
      <c r="Q47" s="681">
        <v>45505</v>
      </c>
      <c r="R47" s="681" t="s">
        <v>739</v>
      </c>
      <c r="S47" s="768">
        <v>38697.440000000002</v>
      </c>
      <c r="T47" s="682">
        <v>8</v>
      </c>
      <c r="U47" s="683" t="s">
        <v>2</v>
      </c>
      <c r="V47" s="679" t="s">
        <v>981</v>
      </c>
      <c r="W47" s="680" t="s">
        <v>741</v>
      </c>
    </row>
    <row r="48" spans="1:23" x14ac:dyDescent="0.25">
      <c r="A48" s="679" t="s">
        <v>582</v>
      </c>
      <c r="B48" s="680" t="s">
        <v>413</v>
      </c>
      <c r="C48" s="680" t="s">
        <v>413</v>
      </c>
      <c r="D48" s="680" t="s">
        <v>626</v>
      </c>
      <c r="E48" s="680" t="s">
        <v>979</v>
      </c>
      <c r="F48" s="680" t="s">
        <v>604</v>
      </c>
      <c r="G48" s="680" t="s">
        <v>626</v>
      </c>
      <c r="H48" s="680" t="s">
        <v>667</v>
      </c>
      <c r="I48" s="680" t="s">
        <v>625</v>
      </c>
      <c r="J48" s="680">
        <v>45</v>
      </c>
      <c r="K48" s="680" t="s">
        <v>710</v>
      </c>
      <c r="L48" s="680" t="s">
        <v>654</v>
      </c>
      <c r="M48" s="681">
        <v>41201</v>
      </c>
      <c r="N48" s="680" t="s">
        <v>711</v>
      </c>
      <c r="O48" s="680" t="s">
        <v>712</v>
      </c>
      <c r="P48" s="680" t="s">
        <v>428</v>
      </c>
      <c r="Q48" s="681">
        <v>45505</v>
      </c>
      <c r="R48" s="681" t="s">
        <v>739</v>
      </c>
      <c r="S48" s="768">
        <v>85786.57</v>
      </c>
      <c r="T48" s="682">
        <v>148</v>
      </c>
      <c r="U48" s="683" t="s">
        <v>2</v>
      </c>
      <c r="V48" s="679" t="s">
        <v>740</v>
      </c>
      <c r="W48" s="680" t="s">
        <v>742</v>
      </c>
    </row>
    <row r="49" spans="1:23" x14ac:dyDescent="0.25">
      <c r="A49" s="679" t="s">
        <v>583</v>
      </c>
      <c r="B49" s="680" t="s">
        <v>413</v>
      </c>
      <c r="C49" s="680" t="s">
        <v>413</v>
      </c>
      <c r="D49" s="680" t="s">
        <v>985</v>
      </c>
      <c r="E49" s="680" t="s">
        <v>979</v>
      </c>
      <c r="F49" s="680" t="s">
        <v>604</v>
      </c>
      <c r="G49" s="680" t="s">
        <v>985</v>
      </c>
      <c r="H49" s="680" t="s">
        <v>607</v>
      </c>
      <c r="I49" s="680" t="s">
        <v>619</v>
      </c>
      <c r="J49" s="680" t="s">
        <v>713</v>
      </c>
      <c r="K49" s="680" t="s">
        <v>714</v>
      </c>
      <c r="L49" s="680" t="s">
        <v>654</v>
      </c>
      <c r="M49" s="681">
        <v>44756</v>
      </c>
      <c r="N49" s="680" t="s">
        <v>610</v>
      </c>
      <c r="O49" s="680" t="s">
        <v>648</v>
      </c>
      <c r="P49" s="680" t="s">
        <v>428</v>
      </c>
      <c r="Q49" s="681">
        <v>45505</v>
      </c>
      <c r="R49" s="681" t="s">
        <v>739</v>
      </c>
      <c r="S49" s="768">
        <v>47731.62</v>
      </c>
      <c r="T49" s="682">
        <v>54</v>
      </c>
      <c r="U49" s="683" t="s">
        <v>2</v>
      </c>
      <c r="V49" s="679" t="s">
        <v>981</v>
      </c>
      <c r="W49" s="680" t="s">
        <v>742</v>
      </c>
    </row>
    <row r="50" spans="1:23" x14ac:dyDescent="0.25">
      <c r="A50" s="679" t="s">
        <v>584</v>
      </c>
      <c r="B50" s="680" t="s">
        <v>413</v>
      </c>
      <c r="C50" s="680" t="s">
        <v>413</v>
      </c>
      <c r="D50" s="680" t="s">
        <v>631</v>
      </c>
      <c r="E50" s="680" t="s">
        <v>979</v>
      </c>
      <c r="F50" s="680" t="s">
        <v>604</v>
      </c>
      <c r="G50" s="680" t="s">
        <v>631</v>
      </c>
      <c r="H50" s="680" t="s">
        <v>642</v>
      </c>
      <c r="I50" s="680" t="s">
        <v>619</v>
      </c>
      <c r="J50" s="680">
        <v>5</v>
      </c>
      <c r="K50" s="680" t="s">
        <v>715</v>
      </c>
      <c r="L50" s="680" t="s">
        <v>609</v>
      </c>
      <c r="M50" s="681">
        <v>39517</v>
      </c>
      <c r="N50" s="680" t="s">
        <v>977</v>
      </c>
      <c r="O50" s="680" t="s">
        <v>989</v>
      </c>
      <c r="P50" s="680" t="s">
        <v>428</v>
      </c>
      <c r="Q50" s="681">
        <v>45505</v>
      </c>
      <c r="R50" s="681" t="s">
        <v>739</v>
      </c>
      <c r="S50" s="768">
        <v>58109.5</v>
      </c>
      <c r="T50" s="682">
        <v>173</v>
      </c>
      <c r="U50" s="683" t="s">
        <v>2</v>
      </c>
      <c r="V50" s="679" t="s">
        <v>740</v>
      </c>
      <c r="W50" s="680" t="s">
        <v>742</v>
      </c>
    </row>
    <row r="51" spans="1:23" x14ac:dyDescent="0.25">
      <c r="A51" s="679" t="s">
        <v>585</v>
      </c>
      <c r="B51" s="680" t="s">
        <v>413</v>
      </c>
      <c r="C51" s="680" t="s">
        <v>413</v>
      </c>
      <c r="D51" s="680" t="s">
        <v>603</v>
      </c>
      <c r="E51" s="680" t="s">
        <v>541</v>
      </c>
      <c r="F51" s="680" t="s">
        <v>604</v>
      </c>
      <c r="G51" s="680" t="s">
        <v>603</v>
      </c>
      <c r="H51" s="680" t="s">
        <v>607</v>
      </c>
      <c r="I51" s="680" t="s">
        <v>619</v>
      </c>
      <c r="J51" s="680" t="s">
        <v>716</v>
      </c>
      <c r="K51" s="680" t="s">
        <v>709</v>
      </c>
      <c r="L51" s="680" t="s">
        <v>654</v>
      </c>
      <c r="M51" s="681">
        <v>43602</v>
      </c>
      <c r="N51" s="680" t="s">
        <v>610</v>
      </c>
      <c r="O51" s="680" t="s">
        <v>1000</v>
      </c>
      <c r="P51" s="680" t="s">
        <v>428</v>
      </c>
      <c r="Q51" s="681">
        <v>45505</v>
      </c>
      <c r="R51" s="681" t="s">
        <v>739</v>
      </c>
      <c r="S51" s="768">
        <v>50873.19</v>
      </c>
      <c r="T51" s="682">
        <v>89</v>
      </c>
      <c r="U51" s="683" t="s">
        <v>2</v>
      </c>
      <c r="V51" s="679" t="s">
        <v>981</v>
      </c>
      <c r="W51" s="680" t="s">
        <v>742</v>
      </c>
    </row>
    <row r="52" spans="1:23" x14ac:dyDescent="0.25">
      <c r="A52" s="679" t="s">
        <v>586</v>
      </c>
      <c r="B52" s="680" t="s">
        <v>413</v>
      </c>
      <c r="C52" s="680" t="s">
        <v>413</v>
      </c>
      <c r="D52" s="680" t="s">
        <v>631</v>
      </c>
      <c r="E52" s="680" t="s">
        <v>979</v>
      </c>
      <c r="F52" s="680" t="s">
        <v>604</v>
      </c>
      <c r="G52" s="680" t="s">
        <v>631</v>
      </c>
      <c r="H52" s="680" t="s">
        <v>990</v>
      </c>
      <c r="I52" s="680" t="s">
        <v>619</v>
      </c>
      <c r="J52" s="680" t="s">
        <v>717</v>
      </c>
      <c r="K52" s="680" t="s">
        <v>708</v>
      </c>
      <c r="L52" s="680" t="s">
        <v>654</v>
      </c>
      <c r="M52" s="681">
        <v>42905</v>
      </c>
      <c r="N52" s="680" t="s">
        <v>980</v>
      </c>
      <c r="O52" s="680" t="s">
        <v>1001</v>
      </c>
      <c r="P52" s="680" t="s">
        <v>428</v>
      </c>
      <c r="Q52" s="681">
        <v>45505</v>
      </c>
      <c r="R52" s="681" t="s">
        <v>739</v>
      </c>
      <c r="S52" s="768">
        <v>50025.68</v>
      </c>
      <c r="T52" s="682">
        <v>93</v>
      </c>
      <c r="U52" s="683" t="s">
        <v>2</v>
      </c>
      <c r="V52" s="679" t="s">
        <v>981</v>
      </c>
      <c r="W52" s="680" t="s">
        <v>742</v>
      </c>
    </row>
    <row r="53" spans="1:23" x14ac:dyDescent="0.25">
      <c r="A53" s="679" t="s">
        <v>587</v>
      </c>
      <c r="B53" s="680" t="s">
        <v>413</v>
      </c>
      <c r="C53" s="680" t="s">
        <v>413</v>
      </c>
      <c r="D53" s="680" t="s">
        <v>631</v>
      </c>
      <c r="E53" s="680" t="s">
        <v>541</v>
      </c>
      <c r="F53" s="680" t="s">
        <v>604</v>
      </c>
      <c r="G53" s="680" t="s">
        <v>631</v>
      </c>
      <c r="H53" s="680" t="s">
        <v>607</v>
      </c>
      <c r="I53" s="680" t="s">
        <v>619</v>
      </c>
      <c r="J53" s="680" t="s">
        <v>1002</v>
      </c>
      <c r="K53" s="680" t="s">
        <v>718</v>
      </c>
      <c r="L53" s="680" t="s">
        <v>654</v>
      </c>
      <c r="M53" s="681">
        <v>43271</v>
      </c>
      <c r="N53" s="680" t="s">
        <v>610</v>
      </c>
      <c r="O53" s="680" t="s">
        <v>611</v>
      </c>
      <c r="P53" s="680" t="s">
        <v>428</v>
      </c>
      <c r="Q53" s="681">
        <v>45505</v>
      </c>
      <c r="R53" s="681" t="s">
        <v>739</v>
      </c>
      <c r="S53" s="768">
        <v>90054.29</v>
      </c>
      <c r="T53" s="682">
        <v>204</v>
      </c>
      <c r="U53" s="683" t="s">
        <v>2</v>
      </c>
      <c r="V53" s="679" t="s">
        <v>981</v>
      </c>
      <c r="W53" s="680" t="s">
        <v>742</v>
      </c>
    </row>
    <row r="54" spans="1:23" x14ac:dyDescent="0.25">
      <c r="A54" s="679" t="s">
        <v>589</v>
      </c>
      <c r="B54" s="680" t="s">
        <v>413</v>
      </c>
      <c r="C54" s="680" t="s">
        <v>413</v>
      </c>
      <c r="D54" s="680" t="s">
        <v>603</v>
      </c>
      <c r="E54" s="680" t="s">
        <v>541</v>
      </c>
      <c r="F54" s="680" t="s">
        <v>604</v>
      </c>
      <c r="G54" s="680" t="s">
        <v>603</v>
      </c>
      <c r="H54" s="680" t="s">
        <v>642</v>
      </c>
      <c r="I54" s="680" t="s">
        <v>619</v>
      </c>
      <c r="J54" s="680" t="s">
        <v>719</v>
      </c>
      <c r="K54" s="680" t="s">
        <v>720</v>
      </c>
      <c r="L54" s="680" t="s">
        <v>654</v>
      </c>
      <c r="M54" s="681">
        <v>42629</v>
      </c>
      <c r="N54" s="680" t="s">
        <v>977</v>
      </c>
      <c r="O54" s="680" t="s">
        <v>989</v>
      </c>
      <c r="P54" s="680" t="s">
        <v>428</v>
      </c>
      <c r="Q54" s="681">
        <v>45505</v>
      </c>
      <c r="R54" s="681" t="s">
        <v>739</v>
      </c>
      <c r="S54" s="768">
        <v>59530.49</v>
      </c>
      <c r="T54" s="682">
        <v>160</v>
      </c>
      <c r="U54" s="683" t="s">
        <v>2</v>
      </c>
      <c r="V54" s="679" t="s">
        <v>740</v>
      </c>
      <c r="W54" s="680" t="s">
        <v>742</v>
      </c>
    </row>
    <row r="55" spans="1:23" x14ac:dyDescent="0.25">
      <c r="A55" s="679" t="s">
        <v>923</v>
      </c>
      <c r="B55" s="680" t="s">
        <v>413</v>
      </c>
      <c r="C55" s="680" t="s">
        <v>413</v>
      </c>
      <c r="D55" s="680" t="s">
        <v>623</v>
      </c>
      <c r="E55" s="680" t="s">
        <v>624</v>
      </c>
      <c r="F55" s="680" t="s">
        <v>604</v>
      </c>
      <c r="G55" s="680" t="s">
        <v>623</v>
      </c>
      <c r="H55" s="680" t="s">
        <v>990</v>
      </c>
      <c r="I55" s="680" t="s">
        <v>619</v>
      </c>
      <c r="J55" s="680" t="s">
        <v>1009</v>
      </c>
      <c r="K55" s="680" t="s">
        <v>708</v>
      </c>
      <c r="L55" s="680" t="s">
        <v>654</v>
      </c>
      <c r="M55" s="681">
        <v>42905</v>
      </c>
      <c r="N55" s="680" t="s">
        <v>695</v>
      </c>
      <c r="O55" s="680" t="s">
        <v>696</v>
      </c>
      <c r="P55" s="680" t="s">
        <v>428</v>
      </c>
      <c r="Q55" s="681">
        <v>45505</v>
      </c>
      <c r="R55" s="681" t="s">
        <v>739</v>
      </c>
      <c r="S55" s="768">
        <v>36770.85</v>
      </c>
      <c r="T55" s="682">
        <v>12</v>
      </c>
      <c r="U55" s="683" t="s">
        <v>2</v>
      </c>
      <c r="V55" s="679" t="s">
        <v>740</v>
      </c>
      <c r="W55" s="680" t="s">
        <v>742</v>
      </c>
    </row>
    <row r="56" spans="1:23" x14ac:dyDescent="0.25">
      <c r="A56" s="679" t="s">
        <v>925</v>
      </c>
      <c r="B56" s="680" t="s">
        <v>413</v>
      </c>
      <c r="C56" s="680" t="s">
        <v>413</v>
      </c>
      <c r="D56" s="680" t="s">
        <v>603</v>
      </c>
      <c r="E56" s="680" t="s">
        <v>1388</v>
      </c>
      <c r="F56" s="680" t="s">
        <v>604</v>
      </c>
      <c r="G56" s="680" t="s">
        <v>603</v>
      </c>
      <c r="H56" s="680" t="s">
        <v>605</v>
      </c>
      <c r="I56" s="680" t="s">
        <v>605</v>
      </c>
      <c r="J56" s="680"/>
      <c r="K56" s="680"/>
      <c r="L56" s="680" t="s">
        <v>606</v>
      </c>
      <c r="M56" s="681"/>
      <c r="N56" s="680" t="s">
        <v>539</v>
      </c>
      <c r="O56" s="680" t="s">
        <v>429</v>
      </c>
      <c r="P56" s="680" t="s">
        <v>430</v>
      </c>
      <c r="Q56" s="681">
        <v>45505</v>
      </c>
      <c r="R56" s="681" t="s">
        <v>739</v>
      </c>
      <c r="S56" s="768">
        <v>30145.47</v>
      </c>
      <c r="T56" s="682">
        <v>4</v>
      </c>
      <c r="U56" s="683" t="s">
        <v>2</v>
      </c>
      <c r="V56" s="679" t="s">
        <v>981</v>
      </c>
      <c r="W56" s="680"/>
    </row>
    <row r="57" spans="1:23" x14ac:dyDescent="0.25">
      <c r="A57" s="679" t="s">
        <v>590</v>
      </c>
      <c r="B57" s="680" t="s">
        <v>413</v>
      </c>
      <c r="C57" s="680" t="s">
        <v>413</v>
      </c>
      <c r="D57" s="680" t="s">
        <v>623</v>
      </c>
      <c r="E57" s="680" t="s">
        <v>624</v>
      </c>
      <c r="F57" s="680" t="s">
        <v>604</v>
      </c>
      <c r="G57" s="680" t="s">
        <v>623</v>
      </c>
      <c r="H57" s="680" t="s">
        <v>607</v>
      </c>
      <c r="I57" s="680" t="s">
        <v>625</v>
      </c>
      <c r="J57" s="680" t="s">
        <v>657</v>
      </c>
      <c r="K57" s="680" t="s">
        <v>721</v>
      </c>
      <c r="L57" s="680" t="s">
        <v>609</v>
      </c>
      <c r="M57" s="681">
        <v>40494</v>
      </c>
      <c r="N57" s="680" t="s">
        <v>695</v>
      </c>
      <c r="O57" s="680" t="s">
        <v>696</v>
      </c>
      <c r="P57" s="680" t="s">
        <v>428</v>
      </c>
      <c r="Q57" s="681">
        <v>45505</v>
      </c>
      <c r="R57" s="681" t="s">
        <v>739</v>
      </c>
      <c r="S57" s="768">
        <v>29542.41</v>
      </c>
      <c r="T57" s="682">
        <v>8</v>
      </c>
      <c r="U57" s="683" t="s">
        <v>2</v>
      </c>
      <c r="V57" s="679" t="s">
        <v>740</v>
      </c>
      <c r="W57" s="680" t="s">
        <v>742</v>
      </c>
    </row>
    <row r="58" spans="1:23" x14ac:dyDescent="0.25">
      <c r="A58" s="679" t="s">
        <v>591</v>
      </c>
      <c r="B58" s="680" t="s">
        <v>413</v>
      </c>
      <c r="C58" s="680" t="s">
        <v>413</v>
      </c>
      <c r="D58" s="680" t="s">
        <v>603</v>
      </c>
      <c r="E58" s="680" t="s">
        <v>541</v>
      </c>
      <c r="F58" s="680" t="s">
        <v>604</v>
      </c>
      <c r="G58" s="680" t="s">
        <v>603</v>
      </c>
      <c r="H58" s="680" t="s">
        <v>722</v>
      </c>
      <c r="I58" s="680" t="s">
        <v>700</v>
      </c>
      <c r="J58" s="680" t="s">
        <v>723</v>
      </c>
      <c r="K58" s="680" t="s">
        <v>724</v>
      </c>
      <c r="L58" s="680" t="s">
        <v>701</v>
      </c>
      <c r="M58" s="681">
        <v>44134</v>
      </c>
      <c r="N58" s="680" t="s">
        <v>610</v>
      </c>
      <c r="O58" s="680" t="s">
        <v>611</v>
      </c>
      <c r="P58" s="680" t="s">
        <v>428</v>
      </c>
      <c r="Q58" s="681">
        <v>45505</v>
      </c>
      <c r="R58" s="681" t="s">
        <v>739</v>
      </c>
      <c r="S58" s="768">
        <v>83397.990000000005</v>
      </c>
      <c r="T58" s="682">
        <v>124</v>
      </c>
      <c r="U58" s="683" t="s">
        <v>2</v>
      </c>
      <c r="V58" s="679" t="s">
        <v>981</v>
      </c>
      <c r="W58" s="680" t="s">
        <v>742</v>
      </c>
    </row>
    <row r="59" spans="1:23" x14ac:dyDescent="0.25">
      <c r="A59" s="679" t="s">
        <v>930</v>
      </c>
      <c r="B59" s="680" t="s">
        <v>413</v>
      </c>
      <c r="C59" s="680" t="s">
        <v>413</v>
      </c>
      <c r="D59" s="680" t="s">
        <v>985</v>
      </c>
      <c r="E59" s="680" t="s">
        <v>1388</v>
      </c>
      <c r="F59" s="680" t="s">
        <v>604</v>
      </c>
      <c r="G59" s="680" t="s">
        <v>985</v>
      </c>
      <c r="H59" s="680" t="s">
        <v>605</v>
      </c>
      <c r="I59" s="680" t="s">
        <v>605</v>
      </c>
      <c r="J59" s="680"/>
      <c r="K59" s="680"/>
      <c r="L59" s="680" t="s">
        <v>606</v>
      </c>
      <c r="M59" s="681"/>
      <c r="N59" s="680" t="s">
        <v>697</v>
      </c>
      <c r="O59" s="680" t="s">
        <v>698</v>
      </c>
      <c r="P59" s="680" t="s">
        <v>698</v>
      </c>
      <c r="Q59" s="681">
        <v>45505</v>
      </c>
      <c r="R59" s="681" t="s">
        <v>739</v>
      </c>
      <c r="S59" s="768">
        <v>22710.14</v>
      </c>
      <c r="T59" s="682">
        <v>4</v>
      </c>
      <c r="U59" s="683" t="s">
        <v>2</v>
      </c>
      <c r="V59" s="679" t="s">
        <v>740</v>
      </c>
      <c r="W59" s="680"/>
    </row>
    <row r="60" spans="1:23" x14ac:dyDescent="0.25">
      <c r="A60" s="679" t="s">
        <v>592</v>
      </c>
      <c r="B60" s="680" t="s">
        <v>413</v>
      </c>
      <c r="C60" s="680" t="s">
        <v>413</v>
      </c>
      <c r="D60" s="680" t="s">
        <v>1393</v>
      </c>
      <c r="E60" s="680" t="s">
        <v>979</v>
      </c>
      <c r="F60" s="680" t="s">
        <v>604</v>
      </c>
      <c r="G60" s="680" t="s">
        <v>1393</v>
      </c>
      <c r="H60" s="680" t="s">
        <v>690</v>
      </c>
      <c r="I60" s="680" t="s">
        <v>613</v>
      </c>
      <c r="J60" s="680" t="s">
        <v>725</v>
      </c>
      <c r="K60" s="680" t="s">
        <v>726</v>
      </c>
      <c r="L60" s="680" t="s">
        <v>609</v>
      </c>
      <c r="M60" s="681">
        <v>42933</v>
      </c>
      <c r="N60" s="680" t="s">
        <v>977</v>
      </c>
      <c r="O60" s="680" t="s">
        <v>978</v>
      </c>
      <c r="P60" s="680" t="s">
        <v>428</v>
      </c>
      <c r="Q60" s="681">
        <v>45505</v>
      </c>
      <c r="R60" s="681" t="s">
        <v>739</v>
      </c>
      <c r="S60" s="768">
        <v>81867.350000000006</v>
      </c>
      <c r="T60" s="682">
        <v>222</v>
      </c>
      <c r="U60" s="683" t="s">
        <v>2</v>
      </c>
      <c r="V60" s="679" t="s">
        <v>740</v>
      </c>
      <c r="W60" s="680" t="s">
        <v>742</v>
      </c>
    </row>
    <row r="61" spans="1:23" x14ac:dyDescent="0.25">
      <c r="A61" s="679" t="s">
        <v>593</v>
      </c>
      <c r="B61" s="680" t="s">
        <v>413</v>
      </c>
      <c r="C61" s="680" t="s">
        <v>413</v>
      </c>
      <c r="D61" s="680" t="s">
        <v>631</v>
      </c>
      <c r="E61" s="680" t="s">
        <v>541</v>
      </c>
      <c r="F61" s="680" t="s">
        <v>604</v>
      </c>
      <c r="G61" s="680" t="s">
        <v>631</v>
      </c>
      <c r="H61" s="680" t="s">
        <v>990</v>
      </c>
      <c r="I61" s="680" t="s">
        <v>613</v>
      </c>
      <c r="J61" s="680" t="s">
        <v>660</v>
      </c>
      <c r="K61" s="680" t="s">
        <v>727</v>
      </c>
      <c r="L61" s="680" t="s">
        <v>609</v>
      </c>
      <c r="M61" s="681">
        <v>42923</v>
      </c>
      <c r="N61" s="680" t="s">
        <v>610</v>
      </c>
      <c r="O61" s="680" t="s">
        <v>648</v>
      </c>
      <c r="P61" s="680" t="s">
        <v>428</v>
      </c>
      <c r="Q61" s="681">
        <v>45505</v>
      </c>
      <c r="R61" s="681" t="s">
        <v>739</v>
      </c>
      <c r="S61" s="768">
        <v>63988.65</v>
      </c>
      <c r="T61" s="682">
        <v>121</v>
      </c>
      <c r="U61" s="683" t="s">
        <v>2</v>
      </c>
      <c r="V61" s="679" t="s">
        <v>981</v>
      </c>
      <c r="W61" s="680" t="s">
        <v>742</v>
      </c>
    </row>
    <row r="62" spans="1:23" x14ac:dyDescent="0.25">
      <c r="A62" s="679" t="s">
        <v>594</v>
      </c>
      <c r="B62" s="680" t="s">
        <v>413</v>
      </c>
      <c r="C62" s="680" t="s">
        <v>413</v>
      </c>
      <c r="D62" s="680" t="s">
        <v>626</v>
      </c>
      <c r="E62" s="680" t="s">
        <v>541</v>
      </c>
      <c r="F62" s="680" t="s">
        <v>604</v>
      </c>
      <c r="G62" s="680" t="s">
        <v>626</v>
      </c>
      <c r="H62" s="680" t="s">
        <v>642</v>
      </c>
      <c r="I62" s="680" t="s">
        <v>613</v>
      </c>
      <c r="J62" s="680" t="s">
        <v>728</v>
      </c>
      <c r="K62" s="680" t="s">
        <v>729</v>
      </c>
      <c r="L62" s="680" t="s">
        <v>609</v>
      </c>
      <c r="M62" s="681">
        <v>42615</v>
      </c>
      <c r="N62" s="680" t="s">
        <v>634</v>
      </c>
      <c r="O62" s="680" t="s">
        <v>635</v>
      </c>
      <c r="P62" s="680" t="s">
        <v>428</v>
      </c>
      <c r="Q62" s="681">
        <v>45505</v>
      </c>
      <c r="R62" s="681" t="s">
        <v>739</v>
      </c>
      <c r="S62" s="768">
        <v>71435.100000000006</v>
      </c>
      <c r="T62" s="682">
        <v>168</v>
      </c>
      <c r="U62" s="683" t="s">
        <v>2</v>
      </c>
      <c r="V62" s="679" t="s">
        <v>981</v>
      </c>
      <c r="W62" s="680" t="s">
        <v>741</v>
      </c>
    </row>
    <row r="63" spans="1:23" x14ac:dyDescent="0.25">
      <c r="A63" s="679" t="s">
        <v>595</v>
      </c>
      <c r="B63" s="680" t="s">
        <v>413</v>
      </c>
      <c r="C63" s="680" t="s">
        <v>413</v>
      </c>
      <c r="D63" s="680" t="s">
        <v>603</v>
      </c>
      <c r="E63" s="680" t="s">
        <v>541</v>
      </c>
      <c r="F63" s="680" t="s">
        <v>604</v>
      </c>
      <c r="G63" s="680" t="s">
        <v>603</v>
      </c>
      <c r="H63" s="680" t="s">
        <v>607</v>
      </c>
      <c r="I63" s="680" t="s">
        <v>625</v>
      </c>
      <c r="J63" s="680" t="s">
        <v>657</v>
      </c>
      <c r="K63" s="680" t="s">
        <v>730</v>
      </c>
      <c r="L63" s="680" t="s">
        <v>609</v>
      </c>
      <c r="M63" s="681">
        <v>41169</v>
      </c>
      <c r="N63" s="680" t="s">
        <v>977</v>
      </c>
      <c r="O63" s="680" t="s">
        <v>989</v>
      </c>
      <c r="P63" s="680" t="s">
        <v>428</v>
      </c>
      <c r="Q63" s="681">
        <v>45505</v>
      </c>
      <c r="R63" s="681" t="s">
        <v>739</v>
      </c>
      <c r="S63" s="768">
        <v>71173.929999999993</v>
      </c>
      <c r="T63" s="682">
        <v>166</v>
      </c>
      <c r="U63" s="683" t="s">
        <v>2</v>
      </c>
      <c r="V63" s="679" t="s">
        <v>740</v>
      </c>
      <c r="W63" s="680" t="s">
        <v>742</v>
      </c>
    </row>
    <row r="64" spans="1:23" x14ac:dyDescent="0.25">
      <c r="A64" s="679" t="s">
        <v>596</v>
      </c>
      <c r="B64" s="680" t="s">
        <v>413</v>
      </c>
      <c r="C64" s="680" t="s">
        <v>413</v>
      </c>
      <c r="D64" s="680" t="s">
        <v>626</v>
      </c>
      <c r="E64" s="680" t="s">
        <v>541</v>
      </c>
      <c r="F64" s="680" t="s">
        <v>612</v>
      </c>
      <c r="G64" s="680" t="s">
        <v>626</v>
      </c>
      <c r="H64" s="680" t="s">
        <v>690</v>
      </c>
      <c r="I64" s="680" t="s">
        <v>613</v>
      </c>
      <c r="J64" s="680" t="s">
        <v>657</v>
      </c>
      <c r="K64" s="680" t="s">
        <v>731</v>
      </c>
      <c r="L64" s="680" t="s">
        <v>609</v>
      </c>
      <c r="M64" s="681">
        <v>42916</v>
      </c>
      <c r="N64" s="680" t="s">
        <v>610</v>
      </c>
      <c r="O64" s="680" t="s">
        <v>648</v>
      </c>
      <c r="P64" s="680" t="s">
        <v>428</v>
      </c>
      <c r="Q64" s="681">
        <v>45505</v>
      </c>
      <c r="R64" s="681" t="s">
        <v>739</v>
      </c>
      <c r="S64" s="768">
        <v>71435.100000000006</v>
      </c>
      <c r="T64" s="682">
        <v>168</v>
      </c>
      <c r="U64" s="683" t="s">
        <v>2</v>
      </c>
      <c r="V64" s="679" t="s">
        <v>981</v>
      </c>
      <c r="W64" s="680" t="s">
        <v>742</v>
      </c>
    </row>
    <row r="65" spans="1:23" x14ac:dyDescent="0.25">
      <c r="A65" s="679" t="s">
        <v>934</v>
      </c>
      <c r="B65" s="680" t="s">
        <v>413</v>
      </c>
      <c r="C65" s="680" t="s">
        <v>413</v>
      </c>
      <c r="D65" s="680" t="s">
        <v>623</v>
      </c>
      <c r="E65" s="680" t="s">
        <v>1003</v>
      </c>
      <c r="F65" s="680" t="s">
        <v>604</v>
      </c>
      <c r="G65" s="680" t="s">
        <v>623</v>
      </c>
      <c r="H65" s="680" t="s">
        <v>669</v>
      </c>
      <c r="I65" s="680" t="s">
        <v>613</v>
      </c>
      <c r="J65" s="680" t="s">
        <v>1012</v>
      </c>
      <c r="K65" s="680" t="s">
        <v>1013</v>
      </c>
      <c r="L65" s="680" t="s">
        <v>609</v>
      </c>
      <c r="M65" s="681">
        <v>43784</v>
      </c>
      <c r="N65" s="680" t="s">
        <v>1014</v>
      </c>
      <c r="O65" s="680" t="s">
        <v>1015</v>
      </c>
      <c r="P65" s="680" t="s">
        <v>951</v>
      </c>
      <c r="Q65" s="681">
        <v>45505</v>
      </c>
      <c r="R65" s="681" t="s">
        <v>739</v>
      </c>
      <c r="S65" s="768">
        <v>19765.62</v>
      </c>
      <c r="T65" s="682">
        <v>10</v>
      </c>
      <c r="U65" s="683" t="s">
        <v>2</v>
      </c>
      <c r="V65" s="679" t="s">
        <v>740</v>
      </c>
      <c r="W65" s="680" t="s">
        <v>742</v>
      </c>
    </row>
    <row r="66" spans="1:23" x14ac:dyDescent="0.25">
      <c r="A66" s="679" t="s">
        <v>597</v>
      </c>
      <c r="B66" s="680" t="s">
        <v>413</v>
      </c>
      <c r="C66" s="680" t="s">
        <v>413</v>
      </c>
      <c r="D66" s="680" t="s">
        <v>603</v>
      </c>
      <c r="E66" s="680" t="s">
        <v>541</v>
      </c>
      <c r="F66" s="680" t="s">
        <v>617</v>
      </c>
      <c r="G66" s="680" t="s">
        <v>603</v>
      </c>
      <c r="H66" s="680" t="s">
        <v>642</v>
      </c>
      <c r="I66" s="680" t="s">
        <v>613</v>
      </c>
      <c r="J66" s="680" t="s">
        <v>728</v>
      </c>
      <c r="K66" s="680" t="s">
        <v>732</v>
      </c>
      <c r="L66" s="680" t="s">
        <v>609</v>
      </c>
      <c r="M66" s="681">
        <v>42719</v>
      </c>
      <c r="N66" s="680" t="s">
        <v>977</v>
      </c>
      <c r="O66" s="680" t="s">
        <v>978</v>
      </c>
      <c r="P66" s="680" t="s">
        <v>428</v>
      </c>
      <c r="Q66" s="681">
        <v>45505</v>
      </c>
      <c r="R66" s="681" t="s">
        <v>739</v>
      </c>
      <c r="S66" s="768">
        <v>69512.37</v>
      </c>
      <c r="T66" s="682">
        <v>154</v>
      </c>
      <c r="U66" s="683" t="s">
        <v>2</v>
      </c>
      <c r="V66" s="679" t="s">
        <v>740</v>
      </c>
      <c r="W66" s="680" t="s">
        <v>742</v>
      </c>
    </row>
    <row r="67" spans="1:23" x14ac:dyDescent="0.25">
      <c r="A67" s="679" t="s">
        <v>598</v>
      </c>
      <c r="B67" s="680" t="s">
        <v>413</v>
      </c>
      <c r="C67" s="680" t="s">
        <v>413</v>
      </c>
      <c r="D67" s="680" t="s">
        <v>626</v>
      </c>
      <c r="E67" s="680" t="s">
        <v>979</v>
      </c>
      <c r="F67" s="680" t="s">
        <v>617</v>
      </c>
      <c r="G67" s="680" t="s">
        <v>626</v>
      </c>
      <c r="H67" s="680" t="s">
        <v>722</v>
      </c>
      <c r="I67" s="680" t="s">
        <v>619</v>
      </c>
      <c r="J67" s="680" t="s">
        <v>733</v>
      </c>
      <c r="K67" s="680" t="s">
        <v>734</v>
      </c>
      <c r="L67" s="680" t="s">
        <v>701</v>
      </c>
      <c r="M67" s="681">
        <v>44152</v>
      </c>
      <c r="N67" s="680" t="s">
        <v>610</v>
      </c>
      <c r="O67" s="680" t="s">
        <v>1029</v>
      </c>
      <c r="P67" s="680" t="s">
        <v>428</v>
      </c>
      <c r="Q67" s="681">
        <v>45505</v>
      </c>
      <c r="R67" s="681" t="s">
        <v>739</v>
      </c>
      <c r="S67" s="768">
        <v>106555.61</v>
      </c>
      <c r="T67" s="682">
        <v>141</v>
      </c>
      <c r="U67" s="683" t="s">
        <v>2</v>
      </c>
      <c r="V67" s="679" t="s">
        <v>981</v>
      </c>
      <c r="W67" s="680" t="s">
        <v>742</v>
      </c>
    </row>
    <row r="68" spans="1:23" x14ac:dyDescent="0.25">
      <c r="A68" s="679" t="s">
        <v>599</v>
      </c>
      <c r="B68" s="680" t="s">
        <v>413</v>
      </c>
      <c r="C68" s="680" t="s">
        <v>413</v>
      </c>
      <c r="D68" s="680" t="s">
        <v>985</v>
      </c>
      <c r="E68" s="680" t="s">
        <v>541</v>
      </c>
      <c r="F68" s="680" t="s">
        <v>604</v>
      </c>
      <c r="G68" s="680" t="s">
        <v>985</v>
      </c>
      <c r="H68" s="680" t="s">
        <v>605</v>
      </c>
      <c r="I68" s="680" t="s">
        <v>605</v>
      </c>
      <c r="J68" s="680"/>
      <c r="K68" s="680"/>
      <c r="L68" s="680" t="s">
        <v>606</v>
      </c>
      <c r="M68" s="681"/>
      <c r="N68" s="680" t="s">
        <v>697</v>
      </c>
      <c r="O68" s="680" t="s">
        <v>698</v>
      </c>
      <c r="P68" s="680" t="s">
        <v>698</v>
      </c>
      <c r="Q68" s="681">
        <v>45505</v>
      </c>
      <c r="R68" s="681" t="s">
        <v>739</v>
      </c>
      <c r="S68" s="768">
        <v>26066.61</v>
      </c>
      <c r="T68" s="682">
        <v>4</v>
      </c>
      <c r="U68" s="683" t="s">
        <v>2</v>
      </c>
      <c r="V68" s="679" t="s">
        <v>740</v>
      </c>
      <c r="W68" s="680"/>
    </row>
    <row r="69" spans="1:23" x14ac:dyDescent="0.25">
      <c r="A69" s="679" t="s">
        <v>600</v>
      </c>
      <c r="B69" s="680" t="s">
        <v>413</v>
      </c>
      <c r="C69" s="680" t="s">
        <v>413</v>
      </c>
      <c r="D69" s="680" t="s">
        <v>631</v>
      </c>
      <c r="E69" s="680" t="s">
        <v>979</v>
      </c>
      <c r="F69" s="680" t="s">
        <v>617</v>
      </c>
      <c r="G69" s="680" t="s">
        <v>631</v>
      </c>
      <c r="H69" s="680" t="s">
        <v>642</v>
      </c>
      <c r="I69" s="680" t="s">
        <v>613</v>
      </c>
      <c r="J69" s="680" t="s">
        <v>643</v>
      </c>
      <c r="K69" s="680" t="s">
        <v>735</v>
      </c>
      <c r="L69" s="680" t="s">
        <v>609</v>
      </c>
      <c r="M69" s="681">
        <v>42927</v>
      </c>
      <c r="N69" s="680" t="s">
        <v>977</v>
      </c>
      <c r="O69" s="680" t="s">
        <v>989</v>
      </c>
      <c r="P69" s="680" t="s">
        <v>428</v>
      </c>
      <c r="Q69" s="681">
        <v>45505</v>
      </c>
      <c r="R69" s="681" t="s">
        <v>739</v>
      </c>
      <c r="S69" s="768">
        <v>71960.27</v>
      </c>
      <c r="T69" s="682">
        <v>125</v>
      </c>
      <c r="U69" s="683" t="s">
        <v>2</v>
      </c>
      <c r="V69" s="679" t="s">
        <v>740</v>
      </c>
      <c r="W69" s="680" t="s">
        <v>742</v>
      </c>
    </row>
    <row r="70" spans="1:23" x14ac:dyDescent="0.25">
      <c r="A70" s="679" t="s">
        <v>601</v>
      </c>
      <c r="B70" s="680" t="s">
        <v>413</v>
      </c>
      <c r="C70" s="680" t="s">
        <v>413</v>
      </c>
      <c r="D70" s="680" t="s">
        <v>985</v>
      </c>
      <c r="E70" s="680" t="s">
        <v>979</v>
      </c>
      <c r="F70" s="680" t="s">
        <v>604</v>
      </c>
      <c r="G70" s="680" t="s">
        <v>985</v>
      </c>
      <c r="H70" s="680" t="s">
        <v>642</v>
      </c>
      <c r="I70" s="680" t="s">
        <v>613</v>
      </c>
      <c r="J70" s="680">
        <v>3</v>
      </c>
      <c r="K70" s="680" t="s">
        <v>736</v>
      </c>
      <c r="L70" s="680" t="s">
        <v>609</v>
      </c>
      <c r="M70" s="681">
        <v>42643</v>
      </c>
      <c r="N70" s="680" t="s">
        <v>980</v>
      </c>
      <c r="O70" s="680" t="s">
        <v>622</v>
      </c>
      <c r="P70" s="680" t="s">
        <v>428</v>
      </c>
      <c r="Q70" s="681">
        <v>45505</v>
      </c>
      <c r="R70" s="681" t="s">
        <v>739</v>
      </c>
      <c r="S70" s="768">
        <v>82987.37</v>
      </c>
      <c r="T70" s="682">
        <v>201</v>
      </c>
      <c r="U70" s="683" t="s">
        <v>2</v>
      </c>
      <c r="V70" s="679" t="s">
        <v>981</v>
      </c>
      <c r="W70" s="680" t="s">
        <v>742</v>
      </c>
    </row>
    <row r="71" spans="1:23" x14ac:dyDescent="0.25">
      <c r="A71" s="679" t="s">
        <v>975</v>
      </c>
      <c r="B71" s="680" t="s">
        <v>413</v>
      </c>
      <c r="C71" s="680" t="s">
        <v>413</v>
      </c>
      <c r="D71" s="680" t="s">
        <v>623</v>
      </c>
      <c r="E71" s="680" t="s">
        <v>1003</v>
      </c>
      <c r="F71" s="680" t="s">
        <v>604</v>
      </c>
      <c r="G71" s="680" t="s">
        <v>623</v>
      </c>
      <c r="H71" s="680" t="s">
        <v>1004</v>
      </c>
      <c r="I71" s="680" t="s">
        <v>625</v>
      </c>
      <c r="J71" s="680">
        <v>1</v>
      </c>
      <c r="K71" s="680" t="s">
        <v>1005</v>
      </c>
      <c r="L71" s="680" t="s">
        <v>621</v>
      </c>
      <c r="M71" s="681">
        <v>39783</v>
      </c>
      <c r="N71" s="680" t="s">
        <v>1006</v>
      </c>
      <c r="O71" s="680" t="s">
        <v>1007</v>
      </c>
      <c r="P71" s="680" t="s">
        <v>1008</v>
      </c>
      <c r="Q71" s="681">
        <v>45505</v>
      </c>
      <c r="R71" s="681" t="s">
        <v>739</v>
      </c>
      <c r="S71" s="768">
        <v>51912.71</v>
      </c>
      <c r="T71" s="682">
        <v>190</v>
      </c>
      <c r="U71" s="683" t="s">
        <v>2</v>
      </c>
      <c r="V71" s="679" t="s">
        <v>740</v>
      </c>
      <c r="W71" s="680"/>
    </row>
    <row r="72" spans="1:23" x14ac:dyDescent="0.25">
      <c r="A72" s="679" t="s">
        <v>602</v>
      </c>
      <c r="B72" s="680" t="s">
        <v>413</v>
      </c>
      <c r="C72" s="680" t="s">
        <v>413</v>
      </c>
      <c r="D72" s="680" t="s">
        <v>985</v>
      </c>
      <c r="E72" s="680" t="s">
        <v>979</v>
      </c>
      <c r="F72" s="680" t="s">
        <v>617</v>
      </c>
      <c r="G72" s="680" t="s">
        <v>985</v>
      </c>
      <c r="H72" s="680" t="s">
        <v>664</v>
      </c>
      <c r="I72" s="680" t="s">
        <v>613</v>
      </c>
      <c r="J72" s="680" t="s">
        <v>737</v>
      </c>
      <c r="K72" s="680" t="s">
        <v>738</v>
      </c>
      <c r="L72" s="680" t="s">
        <v>609</v>
      </c>
      <c r="M72" s="681">
        <v>44545</v>
      </c>
      <c r="N72" s="680" t="s">
        <v>977</v>
      </c>
      <c r="O72" s="680" t="s">
        <v>989</v>
      </c>
      <c r="P72" s="680" t="s">
        <v>428</v>
      </c>
      <c r="Q72" s="681">
        <v>45505</v>
      </c>
      <c r="R72" s="681" t="s">
        <v>739</v>
      </c>
      <c r="S72" s="768">
        <v>73261.570000000007</v>
      </c>
      <c r="T72" s="682">
        <v>183</v>
      </c>
      <c r="U72" s="683" t="s">
        <v>2</v>
      </c>
      <c r="V72" s="679" t="s">
        <v>740</v>
      </c>
      <c r="W72" s="680" t="s">
        <v>742</v>
      </c>
    </row>
    <row r="74" spans="1:23" x14ac:dyDescent="0.25">
      <c r="S74" s="841">
        <f>SUM(S4:S73)</f>
        <v>5335755.9399999995</v>
      </c>
    </row>
    <row r="77" spans="1:23" x14ac:dyDescent="0.25">
      <c r="S77" s="686">
        <f>+'REPORTE COBRANZA N'!D82</f>
        <v>5335755.9399999995</v>
      </c>
    </row>
  </sheetData>
  <autoFilter ref="A3:W71" xr:uid="{00000000-0001-0000-0500-000000000000}"/>
  <phoneticPr fontId="60" type="noConversion"/>
  <pageMargins left="0.23622047244094491" right="0.23622047244094491" top="0.15748031496062992" bottom="0.15748031496062992" header="0.15748031496062992" footer="0.19685039370078741"/>
  <pageSetup paperSize="9" scale="2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E2D9-4402-47F3-B9EE-213E965F6BF5}">
  <dimension ref="A1:BT155"/>
  <sheetViews>
    <sheetView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5.85546875" style="838" customWidth="1"/>
    <col min="2" max="2" width="11.7109375" style="838" customWidth="1"/>
    <col min="3" max="3" width="13.7109375" style="838" customWidth="1"/>
    <col min="4" max="4" width="11.42578125" style="838" customWidth="1"/>
    <col min="5" max="5" width="9.7109375" style="838" customWidth="1"/>
    <col min="6" max="6" width="8" style="838" customWidth="1"/>
    <col min="7" max="7" width="12.85546875" style="838" customWidth="1"/>
    <col min="8" max="8" width="10.85546875" style="838" customWidth="1"/>
    <col min="9" max="9" width="11.140625" style="838" customWidth="1"/>
    <col min="10" max="10" width="11.42578125" style="838" customWidth="1"/>
    <col min="11" max="11" width="11.7109375" style="838" customWidth="1"/>
    <col min="12" max="12" width="9.85546875" style="838" customWidth="1"/>
    <col min="13" max="13" width="11.140625" style="838" customWidth="1"/>
    <col min="14" max="15" width="11.85546875" style="838" customWidth="1"/>
    <col min="16" max="16" width="10.7109375" style="838" customWidth="1"/>
    <col min="17" max="17" width="9.7109375" style="838" customWidth="1"/>
    <col min="18" max="18" width="10.85546875" style="838" customWidth="1"/>
    <col min="19" max="19" width="9.7109375" style="838" customWidth="1"/>
    <col min="20" max="20" width="10.140625" style="838" customWidth="1"/>
    <col min="21" max="21" width="11" style="838" customWidth="1"/>
    <col min="22" max="22" width="9.42578125" style="838" customWidth="1"/>
    <col min="23" max="23" width="9.5703125" style="838" customWidth="1"/>
    <col min="24" max="24" width="11.140625" style="838" customWidth="1"/>
    <col min="25" max="25" width="9.5703125" style="838" customWidth="1"/>
    <col min="26" max="26" width="14" style="838" customWidth="1"/>
    <col min="27" max="27" width="11.28515625" style="838" customWidth="1"/>
    <col min="28" max="29" width="14.140625" style="838" customWidth="1"/>
    <col min="30" max="30" width="12.5703125" style="838" customWidth="1"/>
    <col min="31" max="31" width="11" style="838" customWidth="1"/>
    <col min="32" max="32" width="9.7109375" style="838" customWidth="1"/>
    <col min="33" max="33" width="14" style="838" customWidth="1"/>
    <col min="34" max="34" width="13.28515625" style="838" customWidth="1"/>
    <col min="35" max="35" width="11.85546875" style="838" customWidth="1"/>
    <col min="36" max="36" width="13.5703125" style="838" customWidth="1"/>
    <col min="37" max="37" width="13.140625" style="838" customWidth="1"/>
    <col min="38" max="38" width="12.5703125" style="838" customWidth="1"/>
    <col min="39" max="39" width="11.140625" style="838" customWidth="1"/>
    <col min="40" max="40" width="11.85546875" style="838" customWidth="1"/>
    <col min="41" max="41" width="11.7109375" style="838" customWidth="1"/>
    <col min="42" max="42" width="11.5703125" style="838" customWidth="1"/>
    <col min="43" max="44" width="10.140625" style="838" customWidth="1"/>
    <col min="45" max="46" width="10.7109375" style="838" customWidth="1"/>
    <col min="47" max="47" width="11.28515625" style="838" bestFit="1" customWidth="1"/>
    <col min="48" max="49" width="10.140625" style="838" customWidth="1"/>
    <col min="50" max="51" width="7.140625" style="838" customWidth="1"/>
    <col min="52" max="52" width="11.5703125" style="838" customWidth="1"/>
    <col min="53" max="54" width="13.7109375" style="838" customWidth="1"/>
    <col min="55" max="55" width="8" style="838" customWidth="1"/>
    <col min="56" max="56" width="7.28515625" style="838" customWidth="1"/>
    <col min="57" max="57" width="10.7109375" style="838" customWidth="1"/>
    <col min="58" max="58" width="12.7109375" style="838" customWidth="1"/>
    <col min="59" max="59" width="13.28515625" style="838" customWidth="1"/>
    <col min="60" max="60" width="7.7109375" style="838" customWidth="1"/>
    <col min="61" max="61" width="17.85546875" style="838" customWidth="1"/>
    <col min="62" max="62" width="7.5703125" style="838" customWidth="1"/>
    <col min="63" max="63" width="11.42578125" style="838" customWidth="1"/>
    <col min="64" max="64" width="13.5703125" style="838" customWidth="1"/>
    <col min="65" max="72" width="11.42578125" style="838" customWidth="1"/>
    <col min="73" max="73" width="4.7109375" style="838" customWidth="1"/>
    <col min="74" max="16384" width="11.42578125" style="838"/>
  </cols>
  <sheetData>
    <row r="1" spans="1:72" s="802" customFormat="1" ht="10.7" customHeight="1" x14ac:dyDescent="0.15"/>
    <row r="2" spans="1:72" s="802" customFormat="1" ht="51" customHeight="1" x14ac:dyDescent="0.15">
      <c r="A2" s="803" t="s">
        <v>743</v>
      </c>
      <c r="B2" s="803" t="s">
        <v>744</v>
      </c>
      <c r="C2" s="803" t="s">
        <v>745</v>
      </c>
      <c r="D2" s="803" t="s">
        <v>746</v>
      </c>
      <c r="E2" s="803" t="s">
        <v>747</v>
      </c>
      <c r="F2" s="803" t="s">
        <v>748</v>
      </c>
      <c r="G2" s="803" t="s">
        <v>749</v>
      </c>
      <c r="H2" s="803" t="s">
        <v>750</v>
      </c>
      <c r="I2" s="803" t="s">
        <v>751</v>
      </c>
      <c r="J2" s="803" t="s">
        <v>752</v>
      </c>
      <c r="K2" s="803" t="s">
        <v>753</v>
      </c>
      <c r="L2" s="804" t="s">
        <v>754</v>
      </c>
      <c r="M2" s="803" t="s">
        <v>755</v>
      </c>
      <c r="N2" s="803" t="s">
        <v>756</v>
      </c>
      <c r="O2" s="803" t="s">
        <v>757</v>
      </c>
      <c r="P2" s="803" t="s">
        <v>758</v>
      </c>
      <c r="Q2" s="803" t="s">
        <v>759</v>
      </c>
      <c r="R2" s="803" t="s">
        <v>760</v>
      </c>
      <c r="S2" s="803" t="s">
        <v>761</v>
      </c>
      <c r="T2" s="803" t="s">
        <v>762</v>
      </c>
      <c r="U2" s="803" t="s">
        <v>763</v>
      </c>
      <c r="V2" s="803" t="s">
        <v>764</v>
      </c>
      <c r="W2" s="803" t="s">
        <v>765</v>
      </c>
      <c r="X2" s="803" t="s">
        <v>766</v>
      </c>
      <c r="Y2" s="803" t="s">
        <v>767</v>
      </c>
      <c r="Z2" s="803" t="s">
        <v>768</v>
      </c>
      <c r="AA2" s="803" t="s">
        <v>769</v>
      </c>
      <c r="AB2" s="803" t="s">
        <v>770</v>
      </c>
      <c r="AC2" s="803" t="s">
        <v>771</v>
      </c>
      <c r="AD2" s="803" t="s">
        <v>772</v>
      </c>
      <c r="AE2" s="803" t="s">
        <v>773</v>
      </c>
      <c r="AF2" s="803" t="s">
        <v>774</v>
      </c>
      <c r="AG2" s="803" t="s">
        <v>775</v>
      </c>
      <c r="AH2" s="803" t="s">
        <v>776</v>
      </c>
      <c r="AI2" s="803" t="s">
        <v>777</v>
      </c>
      <c r="AJ2" s="803" t="s">
        <v>778</v>
      </c>
      <c r="AK2" s="803" t="s">
        <v>779</v>
      </c>
      <c r="AL2" s="803" t="s">
        <v>780</v>
      </c>
      <c r="AM2" s="803" t="s">
        <v>781</v>
      </c>
      <c r="AN2" s="803" t="s">
        <v>782</v>
      </c>
      <c r="AO2" s="803" t="s">
        <v>783</v>
      </c>
      <c r="AP2" s="803" t="s">
        <v>784</v>
      </c>
      <c r="AQ2" s="803" t="s">
        <v>785</v>
      </c>
      <c r="AR2" s="803" t="s">
        <v>786</v>
      </c>
      <c r="AS2" s="839" t="s">
        <v>787</v>
      </c>
      <c r="AT2" s="839" t="s">
        <v>788</v>
      </c>
      <c r="AU2" s="803" t="s">
        <v>789</v>
      </c>
      <c r="AV2" s="803" t="s">
        <v>790</v>
      </c>
      <c r="AW2" s="803" t="s">
        <v>791</v>
      </c>
      <c r="AX2" s="803" t="s">
        <v>792</v>
      </c>
      <c r="AY2" s="803" t="s">
        <v>793</v>
      </c>
      <c r="AZ2" s="803" t="s">
        <v>794</v>
      </c>
      <c r="BA2" s="803" t="s">
        <v>795</v>
      </c>
      <c r="BB2" s="803" t="s">
        <v>796</v>
      </c>
      <c r="BC2" s="803" t="s">
        <v>797</v>
      </c>
      <c r="BD2" s="803" t="s">
        <v>798</v>
      </c>
      <c r="BE2" s="803" t="s">
        <v>799</v>
      </c>
      <c r="BF2" s="803" t="s">
        <v>800</v>
      </c>
      <c r="BG2" s="803" t="s">
        <v>801</v>
      </c>
      <c r="BH2" s="803" t="s">
        <v>802</v>
      </c>
      <c r="BI2" s="803" t="s">
        <v>803</v>
      </c>
      <c r="BJ2" s="803" t="s">
        <v>804</v>
      </c>
      <c r="BK2" s="803" t="s">
        <v>805</v>
      </c>
      <c r="BL2" s="803" t="s">
        <v>806</v>
      </c>
      <c r="BM2" s="803" t="s">
        <v>807</v>
      </c>
      <c r="BN2" s="803" t="s">
        <v>808</v>
      </c>
      <c r="BO2" s="803" t="s">
        <v>809</v>
      </c>
      <c r="BP2" s="803" t="s">
        <v>810</v>
      </c>
      <c r="BQ2" s="803" t="s">
        <v>811</v>
      </c>
      <c r="BR2" s="804" t="s">
        <v>812</v>
      </c>
      <c r="BS2" s="803" t="s">
        <v>813</v>
      </c>
      <c r="BT2" s="803" t="s">
        <v>814</v>
      </c>
    </row>
    <row r="3" spans="1:72" s="802" customFormat="1" ht="18.2" customHeight="1" x14ac:dyDescent="0.15">
      <c r="A3" s="805">
        <v>1</v>
      </c>
      <c r="B3" s="806" t="s">
        <v>413</v>
      </c>
      <c r="C3" s="806" t="s">
        <v>25</v>
      </c>
      <c r="D3" s="807">
        <v>45505</v>
      </c>
      <c r="E3" s="808" t="s">
        <v>545</v>
      </c>
      <c r="F3" s="809">
        <v>0</v>
      </c>
      <c r="G3" s="809">
        <v>2</v>
      </c>
      <c r="H3" s="810">
        <v>17630.78</v>
      </c>
      <c r="I3" s="810">
        <v>412.37</v>
      </c>
      <c r="J3" s="810">
        <v>0</v>
      </c>
      <c r="K3" s="810">
        <v>18043.150000000001</v>
      </c>
      <c r="L3" s="810">
        <v>364.11</v>
      </c>
      <c r="M3" s="810">
        <v>0</v>
      </c>
      <c r="N3" s="810">
        <v>0</v>
      </c>
      <c r="O3" s="810">
        <v>415.1</v>
      </c>
      <c r="P3" s="810">
        <v>364.11</v>
      </c>
      <c r="Q3" s="810">
        <v>0</v>
      </c>
      <c r="R3" s="810">
        <v>0</v>
      </c>
      <c r="S3" s="810">
        <v>17263.93</v>
      </c>
      <c r="T3" s="810">
        <v>152.31</v>
      </c>
      <c r="U3" s="810">
        <v>149.25</v>
      </c>
      <c r="V3" s="810">
        <v>0</v>
      </c>
      <c r="W3" s="810">
        <v>152.31</v>
      </c>
      <c r="X3" s="810">
        <v>149.25</v>
      </c>
      <c r="Y3" s="810">
        <v>0</v>
      </c>
      <c r="Z3" s="810">
        <v>0</v>
      </c>
      <c r="AA3" s="810">
        <v>0</v>
      </c>
      <c r="AB3" s="810">
        <v>65.03</v>
      </c>
      <c r="AC3" s="810">
        <v>0</v>
      </c>
      <c r="AD3" s="810">
        <v>0</v>
      </c>
      <c r="AE3" s="810">
        <v>0</v>
      </c>
      <c r="AF3" s="810">
        <v>27.71</v>
      </c>
      <c r="AG3" s="810">
        <v>0</v>
      </c>
      <c r="AH3" s="810">
        <v>30.66</v>
      </c>
      <c r="AI3" s="810">
        <v>35.14</v>
      </c>
      <c r="AJ3" s="810">
        <v>65.03</v>
      </c>
      <c r="AK3" s="810">
        <v>0</v>
      </c>
      <c r="AL3" s="810">
        <v>0</v>
      </c>
      <c r="AM3" s="810">
        <v>27.71</v>
      </c>
      <c r="AN3" s="810">
        <v>0</v>
      </c>
      <c r="AO3" s="810">
        <v>30.66</v>
      </c>
      <c r="AP3" s="810">
        <v>35.14</v>
      </c>
      <c r="AQ3" s="810">
        <v>3.266</v>
      </c>
      <c r="AR3" s="810">
        <v>0</v>
      </c>
      <c r="AS3" s="810">
        <v>0</v>
      </c>
      <c r="AT3" s="810">
        <v>0</v>
      </c>
      <c r="AU3" s="810">
        <f t="shared" ref="AU3:AU66" si="0">SUM(AB3:AR3,W3:Y3,O3:R3)-J3-AS3-AT3</f>
        <v>1401.116</v>
      </c>
      <c r="AV3" s="810">
        <v>0</v>
      </c>
      <c r="AW3" s="810">
        <v>0</v>
      </c>
      <c r="AX3" s="811">
        <v>39</v>
      </c>
      <c r="AY3" s="811">
        <v>300</v>
      </c>
      <c r="AZ3" s="810">
        <v>199602.06</v>
      </c>
      <c r="BA3" s="810">
        <v>55800</v>
      </c>
      <c r="BB3" s="812">
        <v>90</v>
      </c>
      <c r="BC3" s="812">
        <v>27.845048387096799</v>
      </c>
      <c r="BD3" s="812">
        <v>10.16</v>
      </c>
      <c r="BE3" s="812"/>
      <c r="BF3" s="808" t="s">
        <v>815</v>
      </c>
      <c r="BG3" s="805"/>
      <c r="BH3" s="808" t="s">
        <v>816</v>
      </c>
      <c r="BI3" s="808" t="s">
        <v>817</v>
      </c>
      <c r="BJ3" s="808"/>
      <c r="BK3" s="808" t="s">
        <v>309</v>
      </c>
      <c r="BL3" s="806" t="s">
        <v>2</v>
      </c>
      <c r="BM3" s="812">
        <v>141708.27623192</v>
      </c>
      <c r="BN3" s="806" t="s">
        <v>740</v>
      </c>
      <c r="BO3" s="812"/>
      <c r="BP3" s="813">
        <v>37609</v>
      </c>
      <c r="BQ3" s="813">
        <v>46721</v>
      </c>
      <c r="BR3" s="812">
        <v>0</v>
      </c>
      <c r="BS3" s="812">
        <v>65.03</v>
      </c>
      <c r="BT3" s="812">
        <v>0</v>
      </c>
    </row>
    <row r="4" spans="1:72" s="802" customFormat="1" ht="18.2" customHeight="1" x14ac:dyDescent="0.15">
      <c r="A4" s="814">
        <v>2</v>
      </c>
      <c r="B4" s="815" t="s">
        <v>413</v>
      </c>
      <c r="C4" s="815" t="s">
        <v>25</v>
      </c>
      <c r="D4" s="816">
        <v>45505</v>
      </c>
      <c r="E4" s="817" t="s">
        <v>819</v>
      </c>
      <c r="F4" s="818">
        <v>0</v>
      </c>
      <c r="G4" s="818">
        <v>0</v>
      </c>
      <c r="H4" s="819">
        <v>27646.2</v>
      </c>
      <c r="I4" s="819">
        <v>0</v>
      </c>
      <c r="J4" s="819">
        <v>0</v>
      </c>
      <c r="K4" s="819">
        <v>27646.2</v>
      </c>
      <c r="L4" s="819">
        <v>552.02</v>
      </c>
      <c r="M4" s="819">
        <v>0</v>
      </c>
      <c r="N4" s="819">
        <v>0</v>
      </c>
      <c r="O4" s="819">
        <v>0</v>
      </c>
      <c r="P4" s="819">
        <v>552.02</v>
      </c>
      <c r="Q4" s="819">
        <v>0</v>
      </c>
      <c r="R4" s="819">
        <v>0</v>
      </c>
      <c r="S4" s="819">
        <v>27094.18</v>
      </c>
      <c r="T4" s="819">
        <v>0</v>
      </c>
      <c r="U4" s="819">
        <v>231.54</v>
      </c>
      <c r="V4" s="819">
        <v>0</v>
      </c>
      <c r="W4" s="819">
        <v>0</v>
      </c>
      <c r="X4" s="819">
        <v>231.54</v>
      </c>
      <c r="Y4" s="819">
        <v>0</v>
      </c>
      <c r="Z4" s="819">
        <v>0</v>
      </c>
      <c r="AA4" s="819">
        <v>0</v>
      </c>
      <c r="AB4" s="819">
        <v>110.87</v>
      </c>
      <c r="AC4" s="819">
        <v>0.04</v>
      </c>
      <c r="AD4" s="819">
        <v>0</v>
      </c>
      <c r="AE4" s="819">
        <v>0</v>
      </c>
      <c r="AF4" s="819">
        <v>0</v>
      </c>
      <c r="AG4" s="819">
        <v>0</v>
      </c>
      <c r="AH4" s="819">
        <v>47.41</v>
      </c>
      <c r="AI4" s="819">
        <v>54.13</v>
      </c>
      <c r="AJ4" s="819">
        <v>0</v>
      </c>
      <c r="AK4" s="819">
        <v>84.46</v>
      </c>
      <c r="AL4" s="819">
        <v>0</v>
      </c>
      <c r="AM4" s="819">
        <v>0</v>
      </c>
      <c r="AN4" s="819">
        <v>0</v>
      </c>
      <c r="AO4" s="819">
        <v>0</v>
      </c>
      <c r="AP4" s="819">
        <v>0</v>
      </c>
      <c r="AQ4" s="819">
        <v>0</v>
      </c>
      <c r="AR4" s="819">
        <v>0</v>
      </c>
      <c r="AS4" s="819">
        <v>0</v>
      </c>
      <c r="AT4" s="819">
        <v>84.46</v>
      </c>
      <c r="AU4" s="819">
        <f t="shared" si="0"/>
        <v>996.00999999999976</v>
      </c>
      <c r="AV4" s="819">
        <v>0</v>
      </c>
      <c r="AW4" s="819">
        <v>0</v>
      </c>
      <c r="AX4" s="820">
        <v>40</v>
      </c>
      <c r="AY4" s="820">
        <v>300</v>
      </c>
      <c r="AZ4" s="819">
        <v>460018.9</v>
      </c>
      <c r="BA4" s="819">
        <v>85895</v>
      </c>
      <c r="BB4" s="821">
        <v>60.34</v>
      </c>
      <c r="BC4" s="821">
        <v>19.033271100762601</v>
      </c>
      <c r="BD4" s="821">
        <v>10.050000000000001</v>
      </c>
      <c r="BE4" s="821"/>
      <c r="BF4" s="817" t="s">
        <v>815</v>
      </c>
      <c r="BG4" s="814"/>
      <c r="BH4" s="817" t="s">
        <v>816</v>
      </c>
      <c r="BI4" s="817" t="s">
        <v>820</v>
      </c>
      <c r="BJ4" s="817"/>
      <c r="BK4" s="817" t="s">
        <v>309</v>
      </c>
      <c r="BL4" s="815" t="s">
        <v>2</v>
      </c>
      <c r="BM4" s="821">
        <v>222398.34983791999</v>
      </c>
      <c r="BN4" s="815" t="s">
        <v>740</v>
      </c>
      <c r="BO4" s="821"/>
      <c r="BP4" s="822">
        <v>37635</v>
      </c>
      <c r="BQ4" s="822">
        <v>46753</v>
      </c>
      <c r="BR4" s="821">
        <v>0</v>
      </c>
      <c r="BS4" s="821">
        <v>110.87</v>
      </c>
      <c r="BT4" s="821">
        <v>84.5</v>
      </c>
    </row>
    <row r="5" spans="1:72" s="802" customFormat="1" ht="18.2" customHeight="1" x14ac:dyDescent="0.15">
      <c r="A5" s="805">
        <v>3</v>
      </c>
      <c r="B5" s="806" t="s">
        <v>413</v>
      </c>
      <c r="C5" s="806" t="s">
        <v>25</v>
      </c>
      <c r="D5" s="807">
        <v>45505</v>
      </c>
      <c r="E5" s="808" t="s">
        <v>546</v>
      </c>
      <c r="F5" s="809">
        <v>178</v>
      </c>
      <c r="G5" s="809">
        <v>177</v>
      </c>
      <c r="H5" s="810">
        <v>41411.629999999997</v>
      </c>
      <c r="I5" s="810">
        <v>71923.789999999994</v>
      </c>
      <c r="J5" s="810">
        <v>0</v>
      </c>
      <c r="K5" s="810">
        <v>113335.42</v>
      </c>
      <c r="L5" s="810">
        <v>798.1</v>
      </c>
      <c r="M5" s="810">
        <v>0</v>
      </c>
      <c r="N5" s="810">
        <v>0</v>
      </c>
      <c r="O5" s="810">
        <v>0</v>
      </c>
      <c r="P5" s="810">
        <v>0</v>
      </c>
      <c r="Q5" s="810">
        <v>0</v>
      </c>
      <c r="R5" s="810">
        <v>0</v>
      </c>
      <c r="S5" s="810">
        <v>113335.42</v>
      </c>
      <c r="T5" s="810">
        <v>132980.26</v>
      </c>
      <c r="U5" s="810">
        <v>360.23</v>
      </c>
      <c r="V5" s="810">
        <v>0</v>
      </c>
      <c r="W5" s="810">
        <v>0</v>
      </c>
      <c r="X5" s="810">
        <v>0</v>
      </c>
      <c r="Y5" s="810">
        <v>0</v>
      </c>
      <c r="Z5" s="810">
        <v>0</v>
      </c>
      <c r="AA5" s="810">
        <v>133340.49</v>
      </c>
      <c r="AB5" s="810">
        <v>0</v>
      </c>
      <c r="AC5" s="810">
        <v>0</v>
      </c>
      <c r="AD5" s="810">
        <v>0</v>
      </c>
      <c r="AE5" s="810">
        <v>0</v>
      </c>
      <c r="AF5" s="810">
        <v>0</v>
      </c>
      <c r="AG5" s="810">
        <v>0</v>
      </c>
      <c r="AH5" s="810">
        <v>0</v>
      </c>
      <c r="AI5" s="810">
        <v>0</v>
      </c>
      <c r="AJ5" s="810">
        <v>0</v>
      </c>
      <c r="AK5" s="810">
        <v>0</v>
      </c>
      <c r="AL5" s="810">
        <v>0</v>
      </c>
      <c r="AM5" s="810">
        <v>0</v>
      </c>
      <c r="AN5" s="810">
        <v>0</v>
      </c>
      <c r="AO5" s="810">
        <v>0</v>
      </c>
      <c r="AP5" s="810">
        <v>0</v>
      </c>
      <c r="AQ5" s="810">
        <v>0</v>
      </c>
      <c r="AR5" s="810">
        <v>0</v>
      </c>
      <c r="AS5" s="810">
        <v>0</v>
      </c>
      <c r="AT5" s="810">
        <v>0</v>
      </c>
      <c r="AU5" s="810">
        <f t="shared" si="0"/>
        <v>0</v>
      </c>
      <c r="AV5" s="810">
        <v>72721.89</v>
      </c>
      <c r="AW5" s="810">
        <v>133340.49</v>
      </c>
      <c r="AX5" s="811">
        <v>42</v>
      </c>
      <c r="AY5" s="811">
        <v>300</v>
      </c>
      <c r="AZ5" s="810">
        <v>447000</v>
      </c>
      <c r="BA5" s="810">
        <v>123239.91</v>
      </c>
      <c r="BB5" s="812">
        <v>89.49</v>
      </c>
      <c r="BC5" s="812">
        <v>82.297907681042602</v>
      </c>
      <c r="BD5" s="812">
        <v>10.44</v>
      </c>
      <c r="BE5" s="812"/>
      <c r="BF5" s="808" t="s">
        <v>815</v>
      </c>
      <c r="BG5" s="805"/>
      <c r="BH5" s="808" t="s">
        <v>821</v>
      </c>
      <c r="BI5" s="808" t="s">
        <v>822</v>
      </c>
      <c r="BJ5" s="808"/>
      <c r="BK5" s="808" t="s">
        <v>338</v>
      </c>
      <c r="BL5" s="806" t="s">
        <v>2</v>
      </c>
      <c r="BM5" s="812">
        <v>930296.11474448</v>
      </c>
      <c r="BN5" s="806" t="s">
        <v>740</v>
      </c>
      <c r="BO5" s="812"/>
      <c r="BP5" s="813">
        <v>37671</v>
      </c>
      <c r="BQ5" s="813">
        <v>46784</v>
      </c>
      <c r="BR5" s="812">
        <v>53174.01</v>
      </c>
      <c r="BS5" s="812">
        <v>114.42</v>
      </c>
      <c r="BT5" s="812">
        <v>28.49</v>
      </c>
    </row>
    <row r="6" spans="1:72" s="802" customFormat="1" ht="18.2" customHeight="1" x14ac:dyDescent="0.15">
      <c r="A6" s="814">
        <v>4</v>
      </c>
      <c r="B6" s="815" t="s">
        <v>413</v>
      </c>
      <c r="C6" s="815" t="s">
        <v>25</v>
      </c>
      <c r="D6" s="816">
        <v>45505</v>
      </c>
      <c r="E6" s="817" t="s">
        <v>825</v>
      </c>
      <c r="F6" s="818">
        <v>0</v>
      </c>
      <c r="G6" s="818">
        <v>0</v>
      </c>
      <c r="H6" s="819">
        <v>27718.57</v>
      </c>
      <c r="I6" s="819">
        <v>0</v>
      </c>
      <c r="J6" s="819">
        <v>0</v>
      </c>
      <c r="K6" s="819">
        <v>27718.57</v>
      </c>
      <c r="L6" s="819">
        <v>530.64</v>
      </c>
      <c r="M6" s="819">
        <v>0</v>
      </c>
      <c r="N6" s="819">
        <v>0</v>
      </c>
      <c r="O6" s="819">
        <v>0</v>
      </c>
      <c r="P6" s="819">
        <v>530.64</v>
      </c>
      <c r="Q6" s="819">
        <v>0</v>
      </c>
      <c r="R6" s="819">
        <v>0</v>
      </c>
      <c r="S6" s="819">
        <v>27187.93</v>
      </c>
      <c r="T6" s="819">
        <v>0</v>
      </c>
      <c r="U6" s="819">
        <v>236.99</v>
      </c>
      <c r="V6" s="819">
        <v>0</v>
      </c>
      <c r="W6" s="819">
        <v>0</v>
      </c>
      <c r="X6" s="819">
        <v>236.99</v>
      </c>
      <c r="Y6" s="819">
        <v>0</v>
      </c>
      <c r="Z6" s="819">
        <v>0</v>
      </c>
      <c r="AA6" s="819">
        <v>0</v>
      </c>
      <c r="AB6" s="819">
        <v>96.15</v>
      </c>
      <c r="AC6" s="819">
        <v>0</v>
      </c>
      <c r="AD6" s="819">
        <v>0</v>
      </c>
      <c r="AE6" s="819">
        <v>0</v>
      </c>
      <c r="AF6" s="819">
        <v>0</v>
      </c>
      <c r="AG6" s="819">
        <v>0</v>
      </c>
      <c r="AH6" s="819">
        <v>45.78</v>
      </c>
      <c r="AI6" s="819">
        <v>52.05</v>
      </c>
      <c r="AJ6" s="819">
        <v>0</v>
      </c>
      <c r="AK6" s="819">
        <v>0</v>
      </c>
      <c r="AL6" s="819">
        <v>0</v>
      </c>
      <c r="AM6" s="819">
        <v>0</v>
      </c>
      <c r="AN6" s="819">
        <v>0</v>
      </c>
      <c r="AO6" s="819">
        <v>0</v>
      </c>
      <c r="AP6" s="819">
        <v>0</v>
      </c>
      <c r="AQ6" s="819">
        <v>0</v>
      </c>
      <c r="AR6" s="819">
        <v>0</v>
      </c>
      <c r="AS6" s="819">
        <v>5.1166999999999997E-2</v>
      </c>
      <c r="AT6" s="819">
        <v>0</v>
      </c>
      <c r="AU6" s="819">
        <f t="shared" si="0"/>
        <v>961.55883300000005</v>
      </c>
      <c r="AV6" s="819">
        <v>0</v>
      </c>
      <c r="AW6" s="819">
        <v>0</v>
      </c>
      <c r="AX6" s="820">
        <v>42</v>
      </c>
      <c r="AY6" s="820">
        <v>300</v>
      </c>
      <c r="AZ6" s="819">
        <v>298858.5</v>
      </c>
      <c r="BA6" s="819">
        <v>82800</v>
      </c>
      <c r="BB6" s="821">
        <v>90</v>
      </c>
      <c r="BC6" s="821">
        <v>29.552097826087</v>
      </c>
      <c r="BD6" s="821">
        <v>10.26</v>
      </c>
      <c r="BE6" s="821"/>
      <c r="BF6" s="817" t="s">
        <v>815</v>
      </c>
      <c r="BG6" s="814"/>
      <c r="BH6" s="817" t="s">
        <v>816</v>
      </c>
      <c r="BI6" s="817" t="s">
        <v>820</v>
      </c>
      <c r="BJ6" s="817"/>
      <c r="BK6" s="817" t="s">
        <v>309</v>
      </c>
      <c r="BL6" s="815" t="s">
        <v>2</v>
      </c>
      <c r="BM6" s="821">
        <v>223167.88208792001</v>
      </c>
      <c r="BN6" s="815" t="s">
        <v>740</v>
      </c>
      <c r="BO6" s="821"/>
      <c r="BP6" s="822">
        <v>37683</v>
      </c>
      <c r="BQ6" s="822">
        <v>46812</v>
      </c>
      <c r="BR6" s="821">
        <v>0</v>
      </c>
      <c r="BS6" s="821">
        <v>96.15</v>
      </c>
      <c r="BT6" s="821">
        <v>0</v>
      </c>
    </row>
    <row r="7" spans="1:72" s="802" customFormat="1" ht="18.2" customHeight="1" x14ac:dyDescent="0.15">
      <c r="A7" s="805">
        <v>5</v>
      </c>
      <c r="B7" s="806" t="s">
        <v>413</v>
      </c>
      <c r="C7" s="806" t="s">
        <v>25</v>
      </c>
      <c r="D7" s="807">
        <v>45505</v>
      </c>
      <c r="E7" s="808" t="s">
        <v>826</v>
      </c>
      <c r="F7" s="809">
        <v>0</v>
      </c>
      <c r="G7" s="809">
        <v>2</v>
      </c>
      <c r="H7" s="810">
        <v>27884.54</v>
      </c>
      <c r="I7" s="810">
        <v>1045.01</v>
      </c>
      <c r="J7" s="810">
        <v>0</v>
      </c>
      <c r="K7" s="810">
        <v>28929.55</v>
      </c>
      <c r="L7" s="810">
        <v>529.22</v>
      </c>
      <c r="M7" s="810">
        <v>0</v>
      </c>
      <c r="N7" s="810">
        <v>0</v>
      </c>
      <c r="O7" s="810">
        <v>1045.01</v>
      </c>
      <c r="P7" s="810">
        <v>529.22</v>
      </c>
      <c r="Q7" s="810">
        <v>0</v>
      </c>
      <c r="R7" s="810">
        <v>0</v>
      </c>
      <c r="S7" s="810">
        <v>27355.32</v>
      </c>
      <c r="T7" s="810">
        <v>490.25</v>
      </c>
      <c r="U7" s="810">
        <v>238.41</v>
      </c>
      <c r="V7" s="810">
        <v>0</v>
      </c>
      <c r="W7" s="810">
        <v>490.25</v>
      </c>
      <c r="X7" s="810">
        <v>238.41</v>
      </c>
      <c r="Y7" s="810">
        <v>0</v>
      </c>
      <c r="Z7" s="810">
        <v>0</v>
      </c>
      <c r="AA7" s="810">
        <v>0</v>
      </c>
      <c r="AB7" s="810">
        <v>96.15</v>
      </c>
      <c r="AC7" s="810">
        <v>0</v>
      </c>
      <c r="AD7" s="810">
        <v>0</v>
      </c>
      <c r="AE7" s="810">
        <v>0</v>
      </c>
      <c r="AF7" s="810">
        <v>28.45</v>
      </c>
      <c r="AG7" s="810">
        <v>0</v>
      </c>
      <c r="AH7" s="810">
        <v>91.56</v>
      </c>
      <c r="AI7" s="810">
        <v>51.81</v>
      </c>
      <c r="AJ7" s="810">
        <v>192.3</v>
      </c>
      <c r="AK7" s="810">
        <v>0</v>
      </c>
      <c r="AL7" s="810">
        <v>0</v>
      </c>
      <c r="AM7" s="810">
        <v>28.45</v>
      </c>
      <c r="AN7" s="810">
        <v>0</v>
      </c>
      <c r="AO7" s="810">
        <v>45.78</v>
      </c>
      <c r="AP7" s="810">
        <v>103.98</v>
      </c>
      <c r="AQ7" s="810">
        <v>7.6999999999999999E-2</v>
      </c>
      <c r="AR7" s="810">
        <v>0</v>
      </c>
      <c r="AS7" s="810">
        <v>0</v>
      </c>
      <c r="AT7" s="810">
        <v>0</v>
      </c>
      <c r="AU7" s="810">
        <f t="shared" si="0"/>
        <v>2941.4470000000001</v>
      </c>
      <c r="AV7" s="810">
        <v>0</v>
      </c>
      <c r="AW7" s="810">
        <v>0</v>
      </c>
      <c r="AX7" s="811">
        <v>42</v>
      </c>
      <c r="AY7" s="811">
        <v>300</v>
      </c>
      <c r="AZ7" s="810">
        <v>298858.5</v>
      </c>
      <c r="BA7" s="810">
        <v>82800</v>
      </c>
      <c r="BB7" s="812">
        <v>90</v>
      </c>
      <c r="BC7" s="812">
        <v>29.734043478260901</v>
      </c>
      <c r="BD7" s="812">
        <v>10.26</v>
      </c>
      <c r="BE7" s="812"/>
      <c r="BF7" s="808" t="s">
        <v>815</v>
      </c>
      <c r="BG7" s="805"/>
      <c r="BH7" s="808" t="s">
        <v>816</v>
      </c>
      <c r="BI7" s="808" t="s">
        <v>820</v>
      </c>
      <c r="BJ7" s="808"/>
      <c r="BK7" s="808" t="s">
        <v>309</v>
      </c>
      <c r="BL7" s="806" t="s">
        <v>2</v>
      </c>
      <c r="BM7" s="812">
        <v>224541.87679007999</v>
      </c>
      <c r="BN7" s="806" t="s">
        <v>740</v>
      </c>
      <c r="BO7" s="812"/>
      <c r="BP7" s="813">
        <v>37683</v>
      </c>
      <c r="BQ7" s="813">
        <v>46812</v>
      </c>
      <c r="BR7" s="812">
        <v>0</v>
      </c>
      <c r="BS7" s="812">
        <v>96.15</v>
      </c>
      <c r="BT7" s="812">
        <v>0</v>
      </c>
    </row>
    <row r="8" spans="1:72" s="802" customFormat="1" ht="18.2" customHeight="1" x14ac:dyDescent="0.15">
      <c r="A8" s="814">
        <v>6</v>
      </c>
      <c r="B8" s="815" t="s">
        <v>413</v>
      </c>
      <c r="C8" s="815" t="s">
        <v>25</v>
      </c>
      <c r="D8" s="816">
        <v>45505</v>
      </c>
      <c r="E8" s="817" t="s">
        <v>547</v>
      </c>
      <c r="F8" s="818">
        <v>114</v>
      </c>
      <c r="G8" s="818">
        <v>113</v>
      </c>
      <c r="H8" s="819">
        <v>28057.58</v>
      </c>
      <c r="I8" s="819">
        <v>38132.879999999997</v>
      </c>
      <c r="J8" s="819">
        <v>0</v>
      </c>
      <c r="K8" s="819">
        <v>66190.460000000006</v>
      </c>
      <c r="L8" s="819">
        <v>527.77</v>
      </c>
      <c r="M8" s="819">
        <v>0</v>
      </c>
      <c r="N8" s="819">
        <v>0</v>
      </c>
      <c r="O8" s="819">
        <v>0</v>
      </c>
      <c r="P8" s="819">
        <v>0</v>
      </c>
      <c r="Q8" s="819">
        <v>0</v>
      </c>
      <c r="R8" s="819">
        <v>0</v>
      </c>
      <c r="S8" s="819">
        <v>66190.460000000006</v>
      </c>
      <c r="T8" s="819">
        <v>48575.59</v>
      </c>
      <c r="U8" s="819">
        <v>239.86</v>
      </c>
      <c r="V8" s="819">
        <v>0</v>
      </c>
      <c r="W8" s="819">
        <v>0</v>
      </c>
      <c r="X8" s="819">
        <v>0</v>
      </c>
      <c r="Y8" s="819">
        <v>0</v>
      </c>
      <c r="Z8" s="819">
        <v>0</v>
      </c>
      <c r="AA8" s="819">
        <v>48815.45</v>
      </c>
      <c r="AB8" s="819">
        <v>0</v>
      </c>
      <c r="AC8" s="819">
        <v>0</v>
      </c>
      <c r="AD8" s="819">
        <v>0</v>
      </c>
      <c r="AE8" s="819">
        <v>0</v>
      </c>
      <c r="AF8" s="819">
        <v>0</v>
      </c>
      <c r="AG8" s="819">
        <v>0</v>
      </c>
      <c r="AH8" s="819">
        <v>0</v>
      </c>
      <c r="AI8" s="819">
        <v>0</v>
      </c>
      <c r="AJ8" s="819">
        <v>0</v>
      </c>
      <c r="AK8" s="819">
        <v>0</v>
      </c>
      <c r="AL8" s="819">
        <v>0</v>
      </c>
      <c r="AM8" s="819">
        <v>0</v>
      </c>
      <c r="AN8" s="819">
        <v>0</v>
      </c>
      <c r="AO8" s="819">
        <v>0</v>
      </c>
      <c r="AP8" s="819">
        <v>0</v>
      </c>
      <c r="AQ8" s="819">
        <v>0</v>
      </c>
      <c r="AR8" s="819">
        <v>0</v>
      </c>
      <c r="AS8" s="819">
        <v>0</v>
      </c>
      <c r="AT8" s="819">
        <v>0</v>
      </c>
      <c r="AU8" s="819">
        <f t="shared" si="0"/>
        <v>0</v>
      </c>
      <c r="AV8" s="819">
        <v>38660.65</v>
      </c>
      <c r="AW8" s="819">
        <v>48815.45</v>
      </c>
      <c r="AX8" s="820">
        <v>42</v>
      </c>
      <c r="AY8" s="820">
        <v>300</v>
      </c>
      <c r="AZ8" s="819">
        <v>298858.5</v>
      </c>
      <c r="BA8" s="819">
        <v>82800</v>
      </c>
      <c r="BB8" s="821">
        <v>90</v>
      </c>
      <c r="BC8" s="821">
        <v>71.946152173913106</v>
      </c>
      <c r="BD8" s="821">
        <v>10.26</v>
      </c>
      <c r="BE8" s="821"/>
      <c r="BF8" s="817" t="s">
        <v>815</v>
      </c>
      <c r="BG8" s="814"/>
      <c r="BH8" s="817" t="s">
        <v>816</v>
      </c>
      <c r="BI8" s="817" t="s">
        <v>820</v>
      </c>
      <c r="BJ8" s="817"/>
      <c r="BK8" s="817" t="s">
        <v>338</v>
      </c>
      <c r="BL8" s="815" t="s">
        <v>2</v>
      </c>
      <c r="BM8" s="821">
        <v>543314.06519823999</v>
      </c>
      <c r="BN8" s="815" t="s">
        <v>740</v>
      </c>
      <c r="BO8" s="821"/>
      <c r="BP8" s="822">
        <v>37683</v>
      </c>
      <c r="BQ8" s="822">
        <v>46812</v>
      </c>
      <c r="BR8" s="821">
        <v>26052.6</v>
      </c>
      <c r="BS8" s="821">
        <v>96.15</v>
      </c>
      <c r="BT8" s="821">
        <v>28.45</v>
      </c>
    </row>
    <row r="9" spans="1:72" s="802" customFormat="1" ht="18.2" customHeight="1" x14ac:dyDescent="0.15">
      <c r="A9" s="805">
        <v>7</v>
      </c>
      <c r="B9" s="806" t="s">
        <v>413</v>
      </c>
      <c r="C9" s="806" t="s">
        <v>25</v>
      </c>
      <c r="D9" s="807">
        <v>45505</v>
      </c>
      <c r="E9" s="808" t="s">
        <v>829</v>
      </c>
      <c r="F9" s="809">
        <v>0</v>
      </c>
      <c r="G9" s="809">
        <v>0</v>
      </c>
      <c r="H9" s="810">
        <v>36410.46</v>
      </c>
      <c r="I9" s="810">
        <v>0</v>
      </c>
      <c r="J9" s="810">
        <v>0</v>
      </c>
      <c r="K9" s="810">
        <v>36410.46</v>
      </c>
      <c r="L9" s="810">
        <v>686.05</v>
      </c>
      <c r="M9" s="810">
        <v>0</v>
      </c>
      <c r="N9" s="810">
        <v>0</v>
      </c>
      <c r="O9" s="810">
        <v>0</v>
      </c>
      <c r="P9" s="810">
        <v>686.05</v>
      </c>
      <c r="Q9" s="810">
        <v>0</v>
      </c>
      <c r="R9" s="810">
        <v>0</v>
      </c>
      <c r="S9" s="810">
        <v>35724.410000000003</v>
      </c>
      <c r="T9" s="810">
        <v>0</v>
      </c>
      <c r="U9" s="810">
        <v>311.31</v>
      </c>
      <c r="V9" s="810">
        <v>0</v>
      </c>
      <c r="W9" s="810">
        <v>0</v>
      </c>
      <c r="X9" s="810">
        <v>311.31</v>
      </c>
      <c r="Y9" s="810">
        <v>0</v>
      </c>
      <c r="Z9" s="810">
        <v>0</v>
      </c>
      <c r="AA9" s="810">
        <v>0</v>
      </c>
      <c r="AB9" s="810">
        <v>124.92</v>
      </c>
      <c r="AC9" s="810">
        <v>0</v>
      </c>
      <c r="AD9" s="810">
        <v>0</v>
      </c>
      <c r="AE9" s="810">
        <v>0</v>
      </c>
      <c r="AF9" s="810">
        <v>0</v>
      </c>
      <c r="AG9" s="810">
        <v>0</v>
      </c>
      <c r="AH9" s="810">
        <v>59.48</v>
      </c>
      <c r="AI9" s="810">
        <v>67.48</v>
      </c>
      <c r="AJ9" s="810">
        <v>0</v>
      </c>
      <c r="AK9" s="810">
        <v>0</v>
      </c>
      <c r="AL9" s="810">
        <v>0</v>
      </c>
      <c r="AM9" s="810">
        <v>0</v>
      </c>
      <c r="AN9" s="810">
        <v>0</v>
      </c>
      <c r="AO9" s="810">
        <v>0</v>
      </c>
      <c r="AP9" s="810">
        <v>0</v>
      </c>
      <c r="AQ9" s="810">
        <v>0.01</v>
      </c>
      <c r="AR9" s="810">
        <v>0</v>
      </c>
      <c r="AS9" s="810">
        <v>0</v>
      </c>
      <c r="AT9" s="810">
        <v>0</v>
      </c>
      <c r="AU9" s="810">
        <f t="shared" si="0"/>
        <v>1249.25</v>
      </c>
      <c r="AV9" s="810">
        <v>0</v>
      </c>
      <c r="AW9" s="810">
        <v>0</v>
      </c>
      <c r="AX9" s="811">
        <v>43</v>
      </c>
      <c r="AY9" s="811">
        <v>300</v>
      </c>
      <c r="AZ9" s="810">
        <v>399184.45</v>
      </c>
      <c r="BA9" s="810">
        <v>107579</v>
      </c>
      <c r="BB9" s="812">
        <v>87.57</v>
      </c>
      <c r="BC9" s="812">
        <v>29.079900200782699</v>
      </c>
      <c r="BD9" s="812">
        <v>10.26</v>
      </c>
      <c r="BE9" s="812"/>
      <c r="BF9" s="808" t="s">
        <v>815</v>
      </c>
      <c r="BG9" s="805"/>
      <c r="BH9" s="808" t="s">
        <v>816</v>
      </c>
      <c r="BI9" s="808" t="s">
        <v>820</v>
      </c>
      <c r="BJ9" s="808" t="s">
        <v>827</v>
      </c>
      <c r="BK9" s="808" t="s">
        <v>309</v>
      </c>
      <c r="BL9" s="806" t="s">
        <v>2</v>
      </c>
      <c r="BM9" s="812">
        <v>293238.24647704</v>
      </c>
      <c r="BN9" s="806" t="s">
        <v>740</v>
      </c>
      <c r="BO9" s="812"/>
      <c r="BP9" s="813">
        <v>37685</v>
      </c>
      <c r="BQ9" s="813">
        <v>46812</v>
      </c>
      <c r="BR9" s="812">
        <v>0</v>
      </c>
      <c r="BS9" s="812">
        <v>124.92</v>
      </c>
      <c r="BT9" s="812">
        <v>0</v>
      </c>
    </row>
    <row r="10" spans="1:72" s="802" customFormat="1" ht="18.2" customHeight="1" x14ac:dyDescent="0.15">
      <c r="A10" s="814">
        <v>8</v>
      </c>
      <c r="B10" s="815" t="s">
        <v>413</v>
      </c>
      <c r="C10" s="815" t="s">
        <v>25</v>
      </c>
      <c r="D10" s="816">
        <v>45505</v>
      </c>
      <c r="E10" s="817" t="s">
        <v>830</v>
      </c>
      <c r="F10" s="818">
        <v>0</v>
      </c>
      <c r="G10" s="818">
        <v>0</v>
      </c>
      <c r="H10" s="819">
        <v>27611.93</v>
      </c>
      <c r="I10" s="819">
        <v>0</v>
      </c>
      <c r="J10" s="819">
        <v>0.6</v>
      </c>
      <c r="K10" s="819">
        <v>27611.93</v>
      </c>
      <c r="L10" s="819">
        <v>531.54999999999995</v>
      </c>
      <c r="M10" s="819">
        <v>0</v>
      </c>
      <c r="N10" s="819">
        <v>0</v>
      </c>
      <c r="O10" s="819">
        <v>0</v>
      </c>
      <c r="P10" s="819">
        <v>531.54999999999995</v>
      </c>
      <c r="Q10" s="819">
        <v>0</v>
      </c>
      <c r="R10" s="819">
        <v>0</v>
      </c>
      <c r="S10" s="819">
        <v>27080.38</v>
      </c>
      <c r="T10" s="819">
        <v>0</v>
      </c>
      <c r="U10" s="819">
        <v>236.08</v>
      </c>
      <c r="V10" s="819">
        <v>0</v>
      </c>
      <c r="W10" s="819">
        <v>0</v>
      </c>
      <c r="X10" s="819">
        <v>236.08</v>
      </c>
      <c r="Y10" s="819">
        <v>0</v>
      </c>
      <c r="Z10" s="819">
        <v>0</v>
      </c>
      <c r="AA10" s="819">
        <v>0</v>
      </c>
      <c r="AB10" s="819">
        <v>96.15</v>
      </c>
      <c r="AC10" s="819">
        <v>0</v>
      </c>
      <c r="AD10" s="819">
        <v>0</v>
      </c>
      <c r="AE10" s="819">
        <v>0</v>
      </c>
      <c r="AF10" s="819">
        <v>0</v>
      </c>
      <c r="AG10" s="819">
        <v>0</v>
      </c>
      <c r="AH10" s="819">
        <v>45.78</v>
      </c>
      <c r="AI10" s="819">
        <v>52.18</v>
      </c>
      <c r="AJ10" s="819">
        <v>0</v>
      </c>
      <c r="AK10" s="819">
        <v>0</v>
      </c>
      <c r="AL10" s="819">
        <v>0</v>
      </c>
      <c r="AM10" s="819">
        <v>0</v>
      </c>
      <c r="AN10" s="819">
        <v>0</v>
      </c>
      <c r="AO10" s="819">
        <v>0</v>
      </c>
      <c r="AP10" s="819">
        <v>0</v>
      </c>
      <c r="AQ10" s="819">
        <v>0</v>
      </c>
      <c r="AR10" s="819">
        <v>0</v>
      </c>
      <c r="AS10" s="819">
        <v>1.2179999999999999E-3</v>
      </c>
      <c r="AT10" s="819">
        <v>0</v>
      </c>
      <c r="AU10" s="819">
        <f t="shared" si="0"/>
        <v>961.13878199999999</v>
      </c>
      <c r="AV10" s="819">
        <v>0</v>
      </c>
      <c r="AW10" s="819">
        <v>0</v>
      </c>
      <c r="AX10" s="820">
        <v>42</v>
      </c>
      <c r="AY10" s="820">
        <v>300</v>
      </c>
      <c r="AZ10" s="819">
        <v>299141.31</v>
      </c>
      <c r="BA10" s="819">
        <v>82800</v>
      </c>
      <c r="BB10" s="821">
        <v>90</v>
      </c>
      <c r="BC10" s="821">
        <v>29.435195652173899</v>
      </c>
      <c r="BD10" s="821">
        <v>10.26</v>
      </c>
      <c r="BE10" s="821"/>
      <c r="BF10" s="817" t="s">
        <v>815</v>
      </c>
      <c r="BG10" s="814"/>
      <c r="BH10" s="817" t="s">
        <v>816</v>
      </c>
      <c r="BI10" s="817" t="s">
        <v>820</v>
      </c>
      <c r="BJ10" s="817"/>
      <c r="BK10" s="817" t="s">
        <v>309</v>
      </c>
      <c r="BL10" s="815" t="s">
        <v>2</v>
      </c>
      <c r="BM10" s="821">
        <v>222285.07469072001</v>
      </c>
      <c r="BN10" s="815" t="s">
        <v>740</v>
      </c>
      <c r="BO10" s="821"/>
      <c r="BP10" s="822">
        <v>37691</v>
      </c>
      <c r="BQ10" s="822">
        <v>46812</v>
      </c>
      <c r="BR10" s="821">
        <v>0</v>
      </c>
      <c r="BS10" s="821">
        <v>96.15</v>
      </c>
      <c r="BT10" s="821">
        <v>0</v>
      </c>
    </row>
    <row r="11" spans="1:72" s="802" customFormat="1" ht="18.2" customHeight="1" x14ac:dyDescent="0.15">
      <c r="A11" s="805">
        <v>9</v>
      </c>
      <c r="B11" s="806" t="s">
        <v>413</v>
      </c>
      <c r="C11" s="806" t="s">
        <v>25</v>
      </c>
      <c r="D11" s="807">
        <v>45505</v>
      </c>
      <c r="E11" s="808" t="s">
        <v>831</v>
      </c>
      <c r="F11" s="809">
        <v>0</v>
      </c>
      <c r="G11" s="809">
        <v>0</v>
      </c>
      <c r="H11" s="810">
        <v>26649.02</v>
      </c>
      <c r="I11" s="810">
        <v>0</v>
      </c>
      <c r="J11" s="810">
        <v>0</v>
      </c>
      <c r="K11" s="810">
        <v>26649.02</v>
      </c>
      <c r="L11" s="810">
        <v>539.78</v>
      </c>
      <c r="M11" s="810">
        <v>0</v>
      </c>
      <c r="N11" s="810">
        <v>0</v>
      </c>
      <c r="O11" s="810">
        <v>0</v>
      </c>
      <c r="P11" s="810">
        <v>539.78</v>
      </c>
      <c r="Q11" s="810">
        <v>0</v>
      </c>
      <c r="R11" s="810">
        <v>0</v>
      </c>
      <c r="S11" s="810">
        <v>26109.24</v>
      </c>
      <c r="T11" s="810">
        <v>0</v>
      </c>
      <c r="U11" s="810">
        <v>227.85</v>
      </c>
      <c r="V11" s="810">
        <v>0</v>
      </c>
      <c r="W11" s="810">
        <v>0</v>
      </c>
      <c r="X11" s="810">
        <v>227.85</v>
      </c>
      <c r="Y11" s="810">
        <v>0</v>
      </c>
      <c r="Z11" s="810">
        <v>0</v>
      </c>
      <c r="AA11" s="810">
        <v>0</v>
      </c>
      <c r="AB11" s="810">
        <v>96.15</v>
      </c>
      <c r="AC11" s="810">
        <v>0</v>
      </c>
      <c r="AD11" s="810">
        <v>0</v>
      </c>
      <c r="AE11" s="810">
        <v>0</v>
      </c>
      <c r="AF11" s="810">
        <v>0</v>
      </c>
      <c r="AG11" s="810">
        <v>0</v>
      </c>
      <c r="AH11" s="810">
        <v>45.78</v>
      </c>
      <c r="AI11" s="810">
        <v>52.18</v>
      </c>
      <c r="AJ11" s="810">
        <v>0</v>
      </c>
      <c r="AK11" s="810">
        <v>0</v>
      </c>
      <c r="AL11" s="810">
        <v>0</v>
      </c>
      <c r="AM11" s="810">
        <v>0</v>
      </c>
      <c r="AN11" s="810">
        <v>0</v>
      </c>
      <c r="AO11" s="810">
        <v>0</v>
      </c>
      <c r="AP11" s="810">
        <v>0</v>
      </c>
      <c r="AQ11" s="810">
        <v>1.6E-2</v>
      </c>
      <c r="AR11" s="810">
        <v>0</v>
      </c>
      <c r="AS11" s="810">
        <v>0</v>
      </c>
      <c r="AT11" s="810">
        <v>0</v>
      </c>
      <c r="AU11" s="810">
        <f t="shared" si="0"/>
        <v>961.75599999999997</v>
      </c>
      <c r="AV11" s="810">
        <v>0</v>
      </c>
      <c r="AW11" s="810">
        <v>0</v>
      </c>
      <c r="AX11" s="811">
        <v>42</v>
      </c>
      <c r="AY11" s="811">
        <v>300</v>
      </c>
      <c r="AZ11" s="810">
        <v>299141.31</v>
      </c>
      <c r="BA11" s="810">
        <v>82800</v>
      </c>
      <c r="BB11" s="812">
        <v>90</v>
      </c>
      <c r="BC11" s="812">
        <v>28.379608695652198</v>
      </c>
      <c r="BD11" s="812">
        <v>10.26</v>
      </c>
      <c r="BE11" s="812"/>
      <c r="BF11" s="808" t="s">
        <v>815</v>
      </c>
      <c r="BG11" s="805"/>
      <c r="BH11" s="808" t="s">
        <v>816</v>
      </c>
      <c r="BI11" s="808" t="s">
        <v>820</v>
      </c>
      <c r="BJ11" s="808"/>
      <c r="BK11" s="808" t="s">
        <v>309</v>
      </c>
      <c r="BL11" s="806" t="s">
        <v>2</v>
      </c>
      <c r="BM11" s="812">
        <v>214313.62349855999</v>
      </c>
      <c r="BN11" s="806" t="s">
        <v>740</v>
      </c>
      <c r="BO11" s="812"/>
      <c r="BP11" s="813">
        <v>37691</v>
      </c>
      <c r="BQ11" s="813">
        <v>46812</v>
      </c>
      <c r="BR11" s="812">
        <v>0</v>
      </c>
      <c r="BS11" s="812">
        <v>96.15</v>
      </c>
      <c r="BT11" s="812">
        <v>0</v>
      </c>
    </row>
    <row r="12" spans="1:72" s="802" customFormat="1" ht="18.2" customHeight="1" x14ac:dyDescent="0.15">
      <c r="A12" s="814">
        <v>10</v>
      </c>
      <c r="B12" s="815" t="s">
        <v>413</v>
      </c>
      <c r="C12" s="815" t="s">
        <v>25</v>
      </c>
      <c r="D12" s="816">
        <v>45505</v>
      </c>
      <c r="E12" s="817" t="s">
        <v>832</v>
      </c>
      <c r="F12" s="818">
        <v>0</v>
      </c>
      <c r="G12" s="818">
        <v>0</v>
      </c>
      <c r="H12" s="819">
        <v>4376.1400000000003</v>
      </c>
      <c r="I12" s="819">
        <v>0</v>
      </c>
      <c r="J12" s="819">
        <v>0</v>
      </c>
      <c r="K12" s="819">
        <v>4376.1400000000003</v>
      </c>
      <c r="L12" s="819">
        <v>730.21</v>
      </c>
      <c r="M12" s="819">
        <v>0</v>
      </c>
      <c r="N12" s="819">
        <v>0</v>
      </c>
      <c r="O12" s="819">
        <v>0</v>
      </c>
      <c r="P12" s="819">
        <v>730.21</v>
      </c>
      <c r="Q12" s="819">
        <v>0</v>
      </c>
      <c r="R12" s="819">
        <v>0</v>
      </c>
      <c r="S12" s="819">
        <v>3645.93</v>
      </c>
      <c r="T12" s="819">
        <v>0</v>
      </c>
      <c r="U12" s="819">
        <v>37.42</v>
      </c>
      <c r="V12" s="819">
        <v>0</v>
      </c>
      <c r="W12" s="819">
        <v>0</v>
      </c>
      <c r="X12" s="819">
        <v>37.42</v>
      </c>
      <c r="Y12" s="819">
        <v>0</v>
      </c>
      <c r="Z12" s="819">
        <v>0</v>
      </c>
      <c r="AA12" s="819">
        <v>0</v>
      </c>
      <c r="AB12" s="819">
        <v>96.15</v>
      </c>
      <c r="AC12" s="819">
        <v>0</v>
      </c>
      <c r="AD12" s="819">
        <v>0</v>
      </c>
      <c r="AE12" s="819">
        <v>0</v>
      </c>
      <c r="AF12" s="819">
        <v>0</v>
      </c>
      <c r="AG12" s="819">
        <v>0</v>
      </c>
      <c r="AH12" s="819">
        <v>45.78</v>
      </c>
      <c r="AI12" s="819">
        <v>52.18</v>
      </c>
      <c r="AJ12" s="819">
        <v>0</v>
      </c>
      <c r="AK12" s="819">
        <v>0</v>
      </c>
      <c r="AL12" s="819">
        <v>0</v>
      </c>
      <c r="AM12" s="819">
        <v>0</v>
      </c>
      <c r="AN12" s="819">
        <v>0</v>
      </c>
      <c r="AO12" s="819">
        <v>0</v>
      </c>
      <c r="AP12" s="819">
        <v>0</v>
      </c>
      <c r="AQ12" s="819">
        <v>1.6E-2</v>
      </c>
      <c r="AR12" s="819">
        <v>0</v>
      </c>
      <c r="AS12" s="819">
        <v>0</v>
      </c>
      <c r="AT12" s="819">
        <v>0</v>
      </c>
      <c r="AU12" s="819">
        <f t="shared" si="0"/>
        <v>961.75600000000009</v>
      </c>
      <c r="AV12" s="819">
        <v>0</v>
      </c>
      <c r="AW12" s="819">
        <v>0</v>
      </c>
      <c r="AX12" s="820">
        <v>37</v>
      </c>
      <c r="AY12" s="820">
        <v>300</v>
      </c>
      <c r="AZ12" s="819">
        <v>299141.31</v>
      </c>
      <c r="BA12" s="819">
        <v>82800</v>
      </c>
      <c r="BB12" s="821">
        <v>90</v>
      </c>
      <c r="BC12" s="821">
        <v>3.9629673913043502</v>
      </c>
      <c r="BD12" s="821">
        <v>10.26</v>
      </c>
      <c r="BE12" s="821"/>
      <c r="BF12" s="817" t="s">
        <v>815</v>
      </c>
      <c r="BG12" s="814"/>
      <c r="BH12" s="817" t="s">
        <v>816</v>
      </c>
      <c r="BI12" s="817" t="s">
        <v>820</v>
      </c>
      <c r="BJ12" s="817"/>
      <c r="BK12" s="817" t="s">
        <v>309</v>
      </c>
      <c r="BL12" s="815" t="s">
        <v>2</v>
      </c>
      <c r="BM12" s="821">
        <v>29927.047639920002</v>
      </c>
      <c r="BN12" s="815" t="s">
        <v>740</v>
      </c>
      <c r="BO12" s="821"/>
      <c r="BP12" s="822">
        <v>37691</v>
      </c>
      <c r="BQ12" s="822">
        <v>46812</v>
      </c>
      <c r="BR12" s="821">
        <v>0</v>
      </c>
      <c r="BS12" s="821">
        <v>96.15</v>
      </c>
      <c r="BT12" s="821">
        <v>0</v>
      </c>
    </row>
    <row r="13" spans="1:72" s="802" customFormat="1" ht="18.2" customHeight="1" x14ac:dyDescent="0.15">
      <c r="A13" s="805">
        <v>11</v>
      </c>
      <c r="B13" s="806" t="s">
        <v>413</v>
      </c>
      <c r="C13" s="806" t="s">
        <v>25</v>
      </c>
      <c r="D13" s="807">
        <v>45505</v>
      </c>
      <c r="E13" s="808" t="s">
        <v>837</v>
      </c>
      <c r="F13" s="809">
        <v>0</v>
      </c>
      <c r="G13" s="809">
        <v>0</v>
      </c>
      <c r="H13" s="810">
        <v>49639.94</v>
      </c>
      <c r="I13" s="810">
        <v>0</v>
      </c>
      <c r="J13" s="810">
        <v>0</v>
      </c>
      <c r="K13" s="810">
        <v>49639.94</v>
      </c>
      <c r="L13" s="810">
        <v>909.53</v>
      </c>
      <c r="M13" s="810">
        <v>0</v>
      </c>
      <c r="N13" s="810">
        <v>0</v>
      </c>
      <c r="O13" s="810">
        <v>0</v>
      </c>
      <c r="P13" s="810">
        <v>909.53</v>
      </c>
      <c r="Q13" s="810">
        <v>0</v>
      </c>
      <c r="R13" s="810">
        <v>0</v>
      </c>
      <c r="S13" s="810">
        <v>48730.41</v>
      </c>
      <c r="T13" s="810">
        <v>0</v>
      </c>
      <c r="U13" s="810">
        <v>425.66</v>
      </c>
      <c r="V13" s="810">
        <v>0</v>
      </c>
      <c r="W13" s="810">
        <v>0</v>
      </c>
      <c r="X13" s="810">
        <v>425.66</v>
      </c>
      <c r="Y13" s="810">
        <v>0</v>
      </c>
      <c r="Z13" s="810">
        <v>0</v>
      </c>
      <c r="AA13" s="810">
        <v>0</v>
      </c>
      <c r="AB13" s="810">
        <v>148.74</v>
      </c>
      <c r="AC13" s="810">
        <v>0</v>
      </c>
      <c r="AD13" s="810">
        <v>0</v>
      </c>
      <c r="AE13" s="810">
        <v>0</v>
      </c>
      <c r="AF13" s="810">
        <v>0</v>
      </c>
      <c r="AG13" s="810">
        <v>0</v>
      </c>
      <c r="AH13" s="810">
        <v>78.69</v>
      </c>
      <c r="AI13" s="810">
        <v>90.23</v>
      </c>
      <c r="AJ13" s="810">
        <v>0</v>
      </c>
      <c r="AK13" s="810">
        <v>0</v>
      </c>
      <c r="AL13" s="810">
        <v>0</v>
      </c>
      <c r="AM13" s="810">
        <v>0</v>
      </c>
      <c r="AN13" s="810">
        <v>0</v>
      </c>
      <c r="AO13" s="810">
        <v>0</v>
      </c>
      <c r="AP13" s="810">
        <v>0</v>
      </c>
      <c r="AQ13" s="810">
        <v>0</v>
      </c>
      <c r="AR13" s="810">
        <v>0</v>
      </c>
      <c r="AS13" s="810">
        <v>7.3095999999999994E-2</v>
      </c>
      <c r="AT13" s="810">
        <v>0</v>
      </c>
      <c r="AU13" s="810">
        <f t="shared" si="0"/>
        <v>1652.7769039999998</v>
      </c>
      <c r="AV13" s="810">
        <v>0</v>
      </c>
      <c r="AW13" s="810">
        <v>0</v>
      </c>
      <c r="AX13" s="811">
        <v>43</v>
      </c>
      <c r="AY13" s="811">
        <v>300</v>
      </c>
      <c r="AZ13" s="810">
        <v>694998</v>
      </c>
      <c r="BA13" s="810">
        <v>143689.04999999999</v>
      </c>
      <c r="BB13" s="812">
        <v>67.63</v>
      </c>
      <c r="BC13" s="812">
        <v>22.9358996270071</v>
      </c>
      <c r="BD13" s="812">
        <v>10.29</v>
      </c>
      <c r="BE13" s="812"/>
      <c r="BF13" s="808" t="s">
        <v>815</v>
      </c>
      <c r="BG13" s="805"/>
      <c r="BH13" s="808" t="s">
        <v>834</v>
      </c>
      <c r="BI13" s="808" t="s">
        <v>835</v>
      </c>
      <c r="BJ13" s="808"/>
      <c r="BK13" s="808" t="s">
        <v>309</v>
      </c>
      <c r="BL13" s="806" t="s">
        <v>2</v>
      </c>
      <c r="BM13" s="812">
        <v>399995.96854104003</v>
      </c>
      <c r="BN13" s="806" t="s">
        <v>740</v>
      </c>
      <c r="BO13" s="812"/>
      <c r="BP13" s="813">
        <v>37721</v>
      </c>
      <c r="BQ13" s="813">
        <v>46844</v>
      </c>
      <c r="BR13" s="812">
        <v>0</v>
      </c>
      <c r="BS13" s="812">
        <v>148.74</v>
      </c>
      <c r="BT13" s="812">
        <v>0</v>
      </c>
    </row>
    <row r="14" spans="1:72" s="802" customFormat="1" ht="18.2" customHeight="1" x14ac:dyDescent="0.15">
      <c r="A14" s="814">
        <v>12</v>
      </c>
      <c r="B14" s="815" t="s">
        <v>413</v>
      </c>
      <c r="C14" s="815" t="s">
        <v>25</v>
      </c>
      <c r="D14" s="816">
        <v>45505</v>
      </c>
      <c r="E14" s="817" t="s">
        <v>548</v>
      </c>
      <c r="F14" s="818">
        <v>165</v>
      </c>
      <c r="G14" s="818">
        <v>164</v>
      </c>
      <c r="H14" s="819">
        <v>88740.160000000003</v>
      </c>
      <c r="I14" s="819">
        <v>141542.69</v>
      </c>
      <c r="J14" s="819">
        <v>0</v>
      </c>
      <c r="K14" s="819">
        <v>230282.85</v>
      </c>
      <c r="L14" s="819">
        <v>1620.5</v>
      </c>
      <c r="M14" s="819">
        <v>0</v>
      </c>
      <c r="N14" s="819">
        <v>0</v>
      </c>
      <c r="O14" s="819">
        <v>0</v>
      </c>
      <c r="P14" s="819">
        <v>0</v>
      </c>
      <c r="Q14" s="819">
        <v>0</v>
      </c>
      <c r="R14" s="819">
        <v>0</v>
      </c>
      <c r="S14" s="819">
        <v>230282.85</v>
      </c>
      <c r="T14" s="819">
        <v>250317.96</v>
      </c>
      <c r="U14" s="819">
        <v>768.97</v>
      </c>
      <c r="V14" s="819">
        <v>0</v>
      </c>
      <c r="W14" s="819">
        <v>0</v>
      </c>
      <c r="X14" s="819">
        <v>0</v>
      </c>
      <c r="Y14" s="819">
        <v>0</v>
      </c>
      <c r="Z14" s="819">
        <v>0</v>
      </c>
      <c r="AA14" s="819">
        <v>251086.93</v>
      </c>
      <c r="AB14" s="819">
        <v>0</v>
      </c>
      <c r="AC14" s="819">
        <v>0</v>
      </c>
      <c r="AD14" s="819">
        <v>0</v>
      </c>
      <c r="AE14" s="819">
        <v>0</v>
      </c>
      <c r="AF14" s="819">
        <v>0</v>
      </c>
      <c r="AG14" s="819">
        <v>0</v>
      </c>
      <c r="AH14" s="819">
        <v>0</v>
      </c>
      <c r="AI14" s="819">
        <v>0</v>
      </c>
      <c r="AJ14" s="819">
        <v>0</v>
      </c>
      <c r="AK14" s="819">
        <v>0</v>
      </c>
      <c r="AL14" s="819">
        <v>0</v>
      </c>
      <c r="AM14" s="819">
        <v>0</v>
      </c>
      <c r="AN14" s="819">
        <v>0</v>
      </c>
      <c r="AO14" s="819">
        <v>0</v>
      </c>
      <c r="AP14" s="819">
        <v>0</v>
      </c>
      <c r="AQ14" s="819">
        <v>0</v>
      </c>
      <c r="AR14" s="819">
        <v>0</v>
      </c>
      <c r="AS14" s="819">
        <v>0</v>
      </c>
      <c r="AT14" s="819">
        <v>0</v>
      </c>
      <c r="AU14" s="819">
        <f t="shared" si="0"/>
        <v>0</v>
      </c>
      <c r="AV14" s="819">
        <v>143163.19</v>
      </c>
      <c r="AW14" s="819">
        <v>251086.93</v>
      </c>
      <c r="AX14" s="820">
        <v>45</v>
      </c>
      <c r="AY14" s="820">
        <v>300</v>
      </c>
      <c r="AZ14" s="819">
        <v>983290.5</v>
      </c>
      <c r="BA14" s="819">
        <v>255000</v>
      </c>
      <c r="BB14" s="821">
        <v>85</v>
      </c>
      <c r="BC14" s="821">
        <v>76.760949999999994</v>
      </c>
      <c r="BD14" s="821">
        <v>10.4</v>
      </c>
      <c r="BE14" s="821"/>
      <c r="BF14" s="817" t="s">
        <v>815</v>
      </c>
      <c r="BG14" s="814"/>
      <c r="BH14" s="817" t="s">
        <v>838</v>
      </c>
      <c r="BI14" s="817" t="s">
        <v>839</v>
      </c>
      <c r="BJ14" s="817"/>
      <c r="BK14" s="817" t="s">
        <v>338</v>
      </c>
      <c r="BL14" s="815" t="s">
        <v>2</v>
      </c>
      <c r="BM14" s="821">
        <v>1890240.8501003999</v>
      </c>
      <c r="BN14" s="815" t="s">
        <v>740</v>
      </c>
      <c r="BO14" s="821"/>
      <c r="BP14" s="822">
        <v>37733</v>
      </c>
      <c r="BQ14" s="822">
        <v>46844</v>
      </c>
      <c r="BR14" s="821">
        <v>95956.94</v>
      </c>
      <c r="BS14" s="821">
        <v>244.01</v>
      </c>
      <c r="BT14" s="821">
        <v>28.22</v>
      </c>
    </row>
    <row r="15" spans="1:72" s="802" customFormat="1" ht="18.2" customHeight="1" x14ac:dyDescent="0.15">
      <c r="A15" s="805">
        <v>13</v>
      </c>
      <c r="B15" s="806" t="s">
        <v>413</v>
      </c>
      <c r="C15" s="806" t="s">
        <v>25</v>
      </c>
      <c r="D15" s="807">
        <v>45505</v>
      </c>
      <c r="E15" s="808" t="s">
        <v>549</v>
      </c>
      <c r="F15" s="809">
        <v>167</v>
      </c>
      <c r="G15" s="809">
        <v>166</v>
      </c>
      <c r="H15" s="810">
        <v>88740.160000000003</v>
      </c>
      <c r="I15" s="810">
        <v>142186.99</v>
      </c>
      <c r="J15" s="810">
        <v>0</v>
      </c>
      <c r="K15" s="810">
        <v>230927.15</v>
      </c>
      <c r="L15" s="810">
        <v>1620.5</v>
      </c>
      <c r="M15" s="810">
        <v>0</v>
      </c>
      <c r="N15" s="810">
        <v>0</v>
      </c>
      <c r="O15" s="810">
        <v>0</v>
      </c>
      <c r="P15" s="810">
        <v>0</v>
      </c>
      <c r="Q15" s="810">
        <v>0</v>
      </c>
      <c r="R15" s="810">
        <v>0</v>
      </c>
      <c r="S15" s="810">
        <v>230927.15</v>
      </c>
      <c r="T15" s="810">
        <v>252317.22</v>
      </c>
      <c r="U15" s="810">
        <v>768.97</v>
      </c>
      <c r="V15" s="810">
        <v>0</v>
      </c>
      <c r="W15" s="810">
        <v>0</v>
      </c>
      <c r="X15" s="810">
        <v>0</v>
      </c>
      <c r="Y15" s="810">
        <v>0</v>
      </c>
      <c r="Z15" s="810">
        <v>0</v>
      </c>
      <c r="AA15" s="810">
        <v>253086.19</v>
      </c>
      <c r="AB15" s="810">
        <v>0</v>
      </c>
      <c r="AC15" s="810">
        <v>0</v>
      </c>
      <c r="AD15" s="810">
        <v>0</v>
      </c>
      <c r="AE15" s="810">
        <v>0</v>
      </c>
      <c r="AF15" s="810">
        <v>0</v>
      </c>
      <c r="AG15" s="810">
        <v>0</v>
      </c>
      <c r="AH15" s="810">
        <v>0</v>
      </c>
      <c r="AI15" s="810">
        <v>0</v>
      </c>
      <c r="AJ15" s="810">
        <v>0</v>
      </c>
      <c r="AK15" s="810">
        <v>0</v>
      </c>
      <c r="AL15" s="810">
        <v>0</v>
      </c>
      <c r="AM15" s="810">
        <v>0</v>
      </c>
      <c r="AN15" s="810">
        <v>0</v>
      </c>
      <c r="AO15" s="810">
        <v>0</v>
      </c>
      <c r="AP15" s="810">
        <v>0</v>
      </c>
      <c r="AQ15" s="810">
        <v>0</v>
      </c>
      <c r="AR15" s="810">
        <v>0</v>
      </c>
      <c r="AS15" s="810">
        <v>0</v>
      </c>
      <c r="AT15" s="810">
        <v>0</v>
      </c>
      <c r="AU15" s="810">
        <f t="shared" si="0"/>
        <v>0</v>
      </c>
      <c r="AV15" s="810">
        <v>143807.49</v>
      </c>
      <c r="AW15" s="810">
        <v>253086.19</v>
      </c>
      <c r="AX15" s="811">
        <v>45</v>
      </c>
      <c r="AY15" s="811">
        <v>300</v>
      </c>
      <c r="AZ15" s="810">
        <v>983792.4</v>
      </c>
      <c r="BA15" s="810">
        <v>255000</v>
      </c>
      <c r="BB15" s="812">
        <v>85</v>
      </c>
      <c r="BC15" s="812">
        <v>76.975716666666699</v>
      </c>
      <c r="BD15" s="812">
        <v>10.4</v>
      </c>
      <c r="BE15" s="812"/>
      <c r="BF15" s="808" t="s">
        <v>815</v>
      </c>
      <c r="BG15" s="805"/>
      <c r="BH15" s="808" t="s">
        <v>838</v>
      </c>
      <c r="BI15" s="808" t="s">
        <v>839</v>
      </c>
      <c r="BJ15" s="808"/>
      <c r="BK15" s="808" t="s">
        <v>338</v>
      </c>
      <c r="BL15" s="806" t="s">
        <v>2</v>
      </c>
      <c r="BM15" s="812">
        <v>1895529.4861395999</v>
      </c>
      <c r="BN15" s="806" t="s">
        <v>740</v>
      </c>
      <c r="BO15" s="812"/>
      <c r="BP15" s="813">
        <v>37736</v>
      </c>
      <c r="BQ15" s="813">
        <v>46844</v>
      </c>
      <c r="BR15" s="812">
        <v>96885</v>
      </c>
      <c r="BS15" s="812">
        <v>244.01</v>
      </c>
      <c r="BT15" s="812">
        <v>28.2</v>
      </c>
    </row>
    <row r="16" spans="1:72" s="802" customFormat="1" ht="18.2" customHeight="1" x14ac:dyDescent="0.15">
      <c r="A16" s="814">
        <v>14</v>
      </c>
      <c r="B16" s="815" t="s">
        <v>413</v>
      </c>
      <c r="C16" s="815" t="s">
        <v>25</v>
      </c>
      <c r="D16" s="816">
        <v>45505</v>
      </c>
      <c r="E16" s="817" t="s">
        <v>550</v>
      </c>
      <c r="F16" s="818">
        <v>158</v>
      </c>
      <c r="G16" s="818">
        <v>157</v>
      </c>
      <c r="H16" s="819">
        <v>89713.96</v>
      </c>
      <c r="I16" s="819">
        <v>137614.28</v>
      </c>
      <c r="J16" s="819">
        <v>0</v>
      </c>
      <c r="K16" s="819">
        <v>227328.24</v>
      </c>
      <c r="L16" s="819">
        <v>1599.26</v>
      </c>
      <c r="M16" s="819">
        <v>0</v>
      </c>
      <c r="N16" s="819">
        <v>0</v>
      </c>
      <c r="O16" s="819">
        <v>0</v>
      </c>
      <c r="P16" s="819">
        <v>0</v>
      </c>
      <c r="Q16" s="819">
        <v>0</v>
      </c>
      <c r="R16" s="819">
        <v>0</v>
      </c>
      <c r="S16" s="819">
        <v>227328.24</v>
      </c>
      <c r="T16" s="819">
        <v>232029.18</v>
      </c>
      <c r="U16" s="819">
        <v>768.45</v>
      </c>
      <c r="V16" s="819">
        <v>0</v>
      </c>
      <c r="W16" s="819">
        <v>0</v>
      </c>
      <c r="X16" s="819">
        <v>0</v>
      </c>
      <c r="Y16" s="819">
        <v>0</v>
      </c>
      <c r="Z16" s="819">
        <v>0</v>
      </c>
      <c r="AA16" s="819">
        <v>232797.63</v>
      </c>
      <c r="AB16" s="819">
        <v>0</v>
      </c>
      <c r="AC16" s="819">
        <v>0</v>
      </c>
      <c r="AD16" s="819">
        <v>0</v>
      </c>
      <c r="AE16" s="819">
        <v>0</v>
      </c>
      <c r="AF16" s="819">
        <v>0</v>
      </c>
      <c r="AG16" s="819">
        <v>0</v>
      </c>
      <c r="AH16" s="819">
        <v>0</v>
      </c>
      <c r="AI16" s="819">
        <v>0</v>
      </c>
      <c r="AJ16" s="819">
        <v>0</v>
      </c>
      <c r="AK16" s="819">
        <v>0</v>
      </c>
      <c r="AL16" s="819">
        <v>0</v>
      </c>
      <c r="AM16" s="819">
        <v>0</v>
      </c>
      <c r="AN16" s="819">
        <v>0</v>
      </c>
      <c r="AO16" s="819">
        <v>0</v>
      </c>
      <c r="AP16" s="819">
        <v>0</v>
      </c>
      <c r="AQ16" s="819">
        <v>0</v>
      </c>
      <c r="AR16" s="819">
        <v>0</v>
      </c>
      <c r="AS16" s="819">
        <v>0</v>
      </c>
      <c r="AT16" s="819">
        <v>0</v>
      </c>
      <c r="AU16" s="819">
        <f t="shared" si="0"/>
        <v>0</v>
      </c>
      <c r="AV16" s="819">
        <v>139213.54</v>
      </c>
      <c r="AW16" s="819">
        <v>232797.63</v>
      </c>
      <c r="AX16" s="820">
        <v>45</v>
      </c>
      <c r="AY16" s="820">
        <v>300</v>
      </c>
      <c r="AZ16" s="819">
        <v>984029.7</v>
      </c>
      <c r="BA16" s="819">
        <v>255000</v>
      </c>
      <c r="BB16" s="821">
        <v>85</v>
      </c>
      <c r="BC16" s="821">
        <v>75.776079999999993</v>
      </c>
      <c r="BD16" s="821">
        <v>10.28</v>
      </c>
      <c r="BE16" s="821"/>
      <c r="BF16" s="817" t="s">
        <v>815</v>
      </c>
      <c r="BG16" s="814"/>
      <c r="BH16" s="817" t="s">
        <v>838</v>
      </c>
      <c r="BI16" s="817" t="s">
        <v>839</v>
      </c>
      <c r="BJ16" s="817"/>
      <c r="BK16" s="817" t="s">
        <v>338</v>
      </c>
      <c r="BL16" s="815" t="s">
        <v>2</v>
      </c>
      <c r="BM16" s="821">
        <v>1865988.3948345601</v>
      </c>
      <c r="BN16" s="815" t="s">
        <v>740</v>
      </c>
      <c r="BO16" s="821"/>
      <c r="BP16" s="822">
        <v>37754</v>
      </c>
      <c r="BQ16" s="822">
        <v>46873</v>
      </c>
      <c r="BR16" s="821">
        <v>94926.36</v>
      </c>
      <c r="BS16" s="821">
        <v>265.77</v>
      </c>
      <c r="BT16" s="821">
        <v>28.2</v>
      </c>
    </row>
    <row r="17" spans="1:72" s="802" customFormat="1" ht="18.2" customHeight="1" x14ac:dyDescent="0.15">
      <c r="A17" s="805">
        <v>15</v>
      </c>
      <c r="B17" s="806" t="s">
        <v>413</v>
      </c>
      <c r="C17" s="806" t="s">
        <v>25</v>
      </c>
      <c r="D17" s="807">
        <v>45505</v>
      </c>
      <c r="E17" s="808" t="s">
        <v>551</v>
      </c>
      <c r="F17" s="809">
        <v>142</v>
      </c>
      <c r="G17" s="809">
        <v>141</v>
      </c>
      <c r="H17" s="810">
        <v>30689.7</v>
      </c>
      <c r="I17" s="810">
        <v>45437.98</v>
      </c>
      <c r="J17" s="810">
        <v>0</v>
      </c>
      <c r="K17" s="810">
        <v>76127.679999999993</v>
      </c>
      <c r="L17" s="810">
        <v>560.54</v>
      </c>
      <c r="M17" s="810">
        <v>0</v>
      </c>
      <c r="N17" s="810">
        <v>0</v>
      </c>
      <c r="O17" s="810">
        <v>0</v>
      </c>
      <c r="P17" s="810">
        <v>0</v>
      </c>
      <c r="Q17" s="810">
        <v>0</v>
      </c>
      <c r="R17" s="810">
        <v>0</v>
      </c>
      <c r="S17" s="810">
        <v>76127.679999999993</v>
      </c>
      <c r="T17" s="810">
        <v>70357.11</v>
      </c>
      <c r="U17" s="810">
        <v>265.94</v>
      </c>
      <c r="V17" s="810">
        <v>0</v>
      </c>
      <c r="W17" s="810">
        <v>0</v>
      </c>
      <c r="X17" s="810">
        <v>0</v>
      </c>
      <c r="Y17" s="810">
        <v>0</v>
      </c>
      <c r="Z17" s="810">
        <v>0</v>
      </c>
      <c r="AA17" s="810">
        <v>70623.05</v>
      </c>
      <c r="AB17" s="810">
        <v>0</v>
      </c>
      <c r="AC17" s="810">
        <v>0</v>
      </c>
      <c r="AD17" s="810">
        <v>0</v>
      </c>
      <c r="AE17" s="810">
        <v>0</v>
      </c>
      <c r="AF17" s="810">
        <v>0</v>
      </c>
      <c r="AG17" s="810">
        <v>0</v>
      </c>
      <c r="AH17" s="810">
        <v>0</v>
      </c>
      <c r="AI17" s="810">
        <v>0</v>
      </c>
      <c r="AJ17" s="810">
        <v>0</v>
      </c>
      <c r="AK17" s="810">
        <v>0</v>
      </c>
      <c r="AL17" s="810">
        <v>0</v>
      </c>
      <c r="AM17" s="810">
        <v>0</v>
      </c>
      <c r="AN17" s="810">
        <v>0</v>
      </c>
      <c r="AO17" s="810">
        <v>0</v>
      </c>
      <c r="AP17" s="810">
        <v>0</v>
      </c>
      <c r="AQ17" s="810">
        <v>0</v>
      </c>
      <c r="AR17" s="810">
        <v>0</v>
      </c>
      <c r="AS17" s="810">
        <v>0</v>
      </c>
      <c r="AT17" s="810">
        <v>0</v>
      </c>
      <c r="AU17" s="810">
        <f t="shared" si="0"/>
        <v>0</v>
      </c>
      <c r="AV17" s="810">
        <v>45998.52</v>
      </c>
      <c r="AW17" s="810">
        <v>70623.05</v>
      </c>
      <c r="AX17" s="811">
        <v>43</v>
      </c>
      <c r="AY17" s="811">
        <v>300</v>
      </c>
      <c r="AZ17" s="810">
        <v>321372.18</v>
      </c>
      <c r="BA17" s="810">
        <v>88200</v>
      </c>
      <c r="BB17" s="812">
        <v>90</v>
      </c>
      <c r="BC17" s="812">
        <v>77.681306122449001</v>
      </c>
      <c r="BD17" s="812">
        <v>10.4</v>
      </c>
      <c r="BE17" s="812"/>
      <c r="BF17" s="808" t="s">
        <v>815</v>
      </c>
      <c r="BG17" s="805"/>
      <c r="BH17" s="808" t="s">
        <v>540</v>
      </c>
      <c r="BI17" s="808" t="s">
        <v>840</v>
      </c>
      <c r="BJ17" s="808"/>
      <c r="BK17" s="808" t="s">
        <v>338</v>
      </c>
      <c r="BL17" s="806" t="s">
        <v>2</v>
      </c>
      <c r="BM17" s="812">
        <v>624882.18536192004</v>
      </c>
      <c r="BN17" s="806" t="s">
        <v>740</v>
      </c>
      <c r="BO17" s="812"/>
      <c r="BP17" s="813">
        <v>37736</v>
      </c>
      <c r="BQ17" s="813">
        <v>46844</v>
      </c>
      <c r="BR17" s="812">
        <v>34211.46</v>
      </c>
      <c r="BS17" s="812">
        <v>100</v>
      </c>
      <c r="BT17" s="812">
        <v>28.18</v>
      </c>
    </row>
    <row r="18" spans="1:72" s="802" customFormat="1" ht="18.2" customHeight="1" x14ac:dyDescent="0.15">
      <c r="A18" s="814">
        <v>16</v>
      </c>
      <c r="B18" s="815" t="s">
        <v>413</v>
      </c>
      <c r="C18" s="815" t="s">
        <v>25</v>
      </c>
      <c r="D18" s="816">
        <v>45505</v>
      </c>
      <c r="E18" s="817" t="s">
        <v>841</v>
      </c>
      <c r="F18" s="818">
        <v>0</v>
      </c>
      <c r="G18" s="818">
        <v>0</v>
      </c>
      <c r="H18" s="819">
        <v>30633.59</v>
      </c>
      <c r="I18" s="819">
        <v>0</v>
      </c>
      <c r="J18" s="819">
        <v>0</v>
      </c>
      <c r="K18" s="819">
        <v>30633.59</v>
      </c>
      <c r="L18" s="819">
        <v>560.99</v>
      </c>
      <c r="M18" s="819">
        <v>0</v>
      </c>
      <c r="N18" s="819">
        <v>0</v>
      </c>
      <c r="O18" s="819">
        <v>0</v>
      </c>
      <c r="P18" s="819">
        <v>560.99</v>
      </c>
      <c r="Q18" s="819">
        <v>0</v>
      </c>
      <c r="R18" s="819">
        <v>0</v>
      </c>
      <c r="S18" s="819">
        <v>30072.6</v>
      </c>
      <c r="T18" s="819">
        <v>0</v>
      </c>
      <c r="U18" s="819">
        <v>265.49</v>
      </c>
      <c r="V18" s="819">
        <v>0</v>
      </c>
      <c r="W18" s="819">
        <v>0</v>
      </c>
      <c r="X18" s="819">
        <v>265.49</v>
      </c>
      <c r="Y18" s="819">
        <v>0</v>
      </c>
      <c r="Z18" s="819">
        <v>0</v>
      </c>
      <c r="AA18" s="819">
        <v>0</v>
      </c>
      <c r="AB18" s="819">
        <v>100</v>
      </c>
      <c r="AC18" s="819">
        <v>0</v>
      </c>
      <c r="AD18" s="819">
        <v>0</v>
      </c>
      <c r="AE18" s="819">
        <v>0</v>
      </c>
      <c r="AF18" s="819">
        <v>0</v>
      </c>
      <c r="AG18" s="819">
        <v>0</v>
      </c>
      <c r="AH18" s="819">
        <v>49.08</v>
      </c>
      <c r="AI18" s="819">
        <v>55.28</v>
      </c>
      <c r="AJ18" s="819">
        <v>0</v>
      </c>
      <c r="AK18" s="819">
        <v>0</v>
      </c>
      <c r="AL18" s="819">
        <v>0</v>
      </c>
      <c r="AM18" s="819">
        <v>0</v>
      </c>
      <c r="AN18" s="819">
        <v>0</v>
      </c>
      <c r="AO18" s="819">
        <v>0</v>
      </c>
      <c r="AP18" s="819">
        <v>0</v>
      </c>
      <c r="AQ18" s="819">
        <v>0</v>
      </c>
      <c r="AR18" s="819">
        <v>0</v>
      </c>
      <c r="AS18" s="819">
        <v>3.7766000000000001E-2</v>
      </c>
      <c r="AT18" s="819">
        <v>0</v>
      </c>
      <c r="AU18" s="819">
        <f t="shared" si="0"/>
        <v>1030.8022340000002</v>
      </c>
      <c r="AV18" s="819">
        <v>0</v>
      </c>
      <c r="AW18" s="819">
        <v>0</v>
      </c>
      <c r="AX18" s="820">
        <v>44</v>
      </c>
      <c r="AY18" s="820">
        <v>300</v>
      </c>
      <c r="AZ18" s="819">
        <v>321372.18</v>
      </c>
      <c r="BA18" s="819">
        <v>88200</v>
      </c>
      <c r="BB18" s="821">
        <v>90</v>
      </c>
      <c r="BC18" s="821">
        <v>30.686326530612199</v>
      </c>
      <c r="BD18" s="821">
        <v>10.4</v>
      </c>
      <c r="BE18" s="821"/>
      <c r="BF18" s="817" t="s">
        <v>815</v>
      </c>
      <c r="BG18" s="814"/>
      <c r="BH18" s="817" t="s">
        <v>540</v>
      </c>
      <c r="BI18" s="817" t="s">
        <v>840</v>
      </c>
      <c r="BJ18" s="817"/>
      <c r="BK18" s="817" t="s">
        <v>309</v>
      </c>
      <c r="BL18" s="815" t="s">
        <v>2</v>
      </c>
      <c r="BM18" s="821">
        <v>246846.24577440001</v>
      </c>
      <c r="BN18" s="815" t="s">
        <v>740</v>
      </c>
      <c r="BO18" s="821"/>
      <c r="BP18" s="822">
        <v>37736</v>
      </c>
      <c r="BQ18" s="822">
        <v>46844</v>
      </c>
      <c r="BR18" s="821">
        <v>0</v>
      </c>
      <c r="BS18" s="821">
        <v>100</v>
      </c>
      <c r="BT18" s="821">
        <v>0</v>
      </c>
    </row>
    <row r="19" spans="1:72" s="802" customFormat="1" ht="18.2" customHeight="1" x14ac:dyDescent="0.15">
      <c r="A19" s="805">
        <v>17</v>
      </c>
      <c r="B19" s="806" t="s">
        <v>413</v>
      </c>
      <c r="C19" s="806" t="s">
        <v>25</v>
      </c>
      <c r="D19" s="807">
        <v>45505</v>
      </c>
      <c r="E19" s="808" t="s">
        <v>842</v>
      </c>
      <c r="F19" s="809">
        <v>0</v>
      </c>
      <c r="G19" s="809">
        <v>1</v>
      </c>
      <c r="H19" s="810">
        <v>49161.4</v>
      </c>
      <c r="I19" s="810">
        <v>873.23</v>
      </c>
      <c r="J19" s="810">
        <v>0</v>
      </c>
      <c r="K19" s="810">
        <v>50034.63</v>
      </c>
      <c r="L19" s="810">
        <v>880.53</v>
      </c>
      <c r="M19" s="810">
        <v>0</v>
      </c>
      <c r="N19" s="810">
        <v>0</v>
      </c>
      <c r="O19" s="810">
        <v>873.23</v>
      </c>
      <c r="P19" s="810">
        <v>880.53</v>
      </c>
      <c r="Q19" s="810">
        <v>0</v>
      </c>
      <c r="R19" s="810">
        <v>0</v>
      </c>
      <c r="S19" s="810">
        <v>48280.87</v>
      </c>
      <c r="T19" s="810">
        <v>418.62</v>
      </c>
      <c r="U19" s="810">
        <v>411.32</v>
      </c>
      <c r="V19" s="810">
        <v>0</v>
      </c>
      <c r="W19" s="810">
        <v>418.62</v>
      </c>
      <c r="X19" s="810">
        <v>411.32</v>
      </c>
      <c r="Y19" s="810">
        <v>0</v>
      </c>
      <c r="Z19" s="810">
        <v>0</v>
      </c>
      <c r="AA19" s="810">
        <v>0</v>
      </c>
      <c r="AB19" s="810">
        <v>169.09</v>
      </c>
      <c r="AC19" s="810">
        <v>84.5</v>
      </c>
      <c r="AD19" s="810">
        <v>0</v>
      </c>
      <c r="AE19" s="810">
        <v>0</v>
      </c>
      <c r="AF19" s="810">
        <v>28.18</v>
      </c>
      <c r="AG19" s="810">
        <v>0</v>
      </c>
      <c r="AH19" s="810">
        <v>77.48</v>
      </c>
      <c r="AI19" s="810">
        <v>89</v>
      </c>
      <c r="AJ19" s="810">
        <v>169.09</v>
      </c>
      <c r="AK19" s="810">
        <v>0</v>
      </c>
      <c r="AL19" s="810">
        <v>0</v>
      </c>
      <c r="AM19" s="810">
        <v>0</v>
      </c>
      <c r="AN19" s="810">
        <v>0</v>
      </c>
      <c r="AO19" s="810">
        <v>77.48</v>
      </c>
      <c r="AP19" s="810">
        <v>88.7</v>
      </c>
      <c r="AQ19" s="810">
        <v>0</v>
      </c>
      <c r="AR19" s="810">
        <v>0</v>
      </c>
      <c r="AS19" s="810">
        <v>1.2179999999999999E-3</v>
      </c>
      <c r="AT19" s="810">
        <v>84.44</v>
      </c>
      <c r="AU19" s="810">
        <f t="shared" si="0"/>
        <v>3282.7787820000003</v>
      </c>
      <c r="AV19" s="810">
        <v>0</v>
      </c>
      <c r="AW19" s="810">
        <v>0</v>
      </c>
      <c r="AX19" s="811">
        <v>45</v>
      </c>
      <c r="AY19" s="811">
        <v>300</v>
      </c>
      <c r="AZ19" s="810">
        <v>646069.26</v>
      </c>
      <c r="BA19" s="810">
        <v>141725</v>
      </c>
      <c r="BB19" s="812">
        <v>71.98</v>
      </c>
      <c r="BC19" s="812">
        <v>24.521129106368001</v>
      </c>
      <c r="BD19" s="812">
        <v>10.039999999999999</v>
      </c>
      <c r="BE19" s="812"/>
      <c r="BF19" s="808" t="s">
        <v>815</v>
      </c>
      <c r="BG19" s="805"/>
      <c r="BH19" s="808" t="s">
        <v>816</v>
      </c>
      <c r="BI19" s="808" t="s">
        <v>820</v>
      </c>
      <c r="BJ19" s="808"/>
      <c r="BK19" s="808" t="s">
        <v>309</v>
      </c>
      <c r="BL19" s="806" t="s">
        <v>2</v>
      </c>
      <c r="BM19" s="812">
        <v>396305.98957928002</v>
      </c>
      <c r="BN19" s="806" t="s">
        <v>740</v>
      </c>
      <c r="BO19" s="812"/>
      <c r="BP19" s="813">
        <v>37762</v>
      </c>
      <c r="BQ19" s="813">
        <v>46873</v>
      </c>
      <c r="BR19" s="812">
        <v>0</v>
      </c>
      <c r="BS19" s="812">
        <v>169.09</v>
      </c>
      <c r="BT19" s="812">
        <v>84.5</v>
      </c>
    </row>
    <row r="20" spans="1:72" s="802" customFormat="1" ht="18.2" customHeight="1" x14ac:dyDescent="0.15">
      <c r="A20" s="814">
        <v>18</v>
      </c>
      <c r="B20" s="815" t="s">
        <v>413</v>
      </c>
      <c r="C20" s="815" t="s">
        <v>25</v>
      </c>
      <c r="D20" s="816">
        <v>45505</v>
      </c>
      <c r="E20" s="817" t="s">
        <v>552</v>
      </c>
      <c r="F20" s="818">
        <v>207</v>
      </c>
      <c r="G20" s="818">
        <v>206</v>
      </c>
      <c r="H20" s="819">
        <v>46788.55</v>
      </c>
      <c r="I20" s="819">
        <v>81773.94</v>
      </c>
      <c r="J20" s="819">
        <v>0</v>
      </c>
      <c r="K20" s="819">
        <v>128562.49</v>
      </c>
      <c r="L20" s="819">
        <v>837.28</v>
      </c>
      <c r="M20" s="819">
        <v>0</v>
      </c>
      <c r="N20" s="819">
        <v>0</v>
      </c>
      <c r="O20" s="819">
        <v>0</v>
      </c>
      <c r="P20" s="819">
        <v>0</v>
      </c>
      <c r="Q20" s="819">
        <v>0</v>
      </c>
      <c r="R20" s="819">
        <v>0</v>
      </c>
      <c r="S20" s="819">
        <v>128562.49</v>
      </c>
      <c r="T20" s="819">
        <v>170473.02</v>
      </c>
      <c r="U20" s="819">
        <v>392.97</v>
      </c>
      <c r="V20" s="819">
        <v>0</v>
      </c>
      <c r="W20" s="819">
        <v>0</v>
      </c>
      <c r="X20" s="819">
        <v>0</v>
      </c>
      <c r="Y20" s="819">
        <v>0</v>
      </c>
      <c r="Z20" s="819">
        <v>0</v>
      </c>
      <c r="AA20" s="819">
        <v>170865.99</v>
      </c>
      <c r="AB20" s="819">
        <v>0</v>
      </c>
      <c r="AC20" s="819">
        <v>0</v>
      </c>
      <c r="AD20" s="819">
        <v>0</v>
      </c>
      <c r="AE20" s="819">
        <v>0</v>
      </c>
      <c r="AF20" s="819">
        <v>0</v>
      </c>
      <c r="AG20" s="819">
        <v>0</v>
      </c>
      <c r="AH20" s="819">
        <v>0</v>
      </c>
      <c r="AI20" s="819">
        <v>0</v>
      </c>
      <c r="AJ20" s="819">
        <v>0</v>
      </c>
      <c r="AK20" s="819">
        <v>0</v>
      </c>
      <c r="AL20" s="819">
        <v>0</v>
      </c>
      <c r="AM20" s="819">
        <v>0</v>
      </c>
      <c r="AN20" s="819">
        <v>0</v>
      </c>
      <c r="AO20" s="819">
        <v>0</v>
      </c>
      <c r="AP20" s="819">
        <v>0</v>
      </c>
      <c r="AQ20" s="819">
        <v>0</v>
      </c>
      <c r="AR20" s="819">
        <v>0</v>
      </c>
      <c r="AS20" s="819">
        <v>0</v>
      </c>
      <c r="AT20" s="819">
        <v>0</v>
      </c>
      <c r="AU20" s="819">
        <f t="shared" si="0"/>
        <v>0</v>
      </c>
      <c r="AV20" s="819">
        <v>82611.22</v>
      </c>
      <c r="AW20" s="819">
        <v>170865.99</v>
      </c>
      <c r="AX20" s="820">
        <v>45</v>
      </c>
      <c r="AY20" s="820">
        <v>300</v>
      </c>
      <c r="AZ20" s="819">
        <v>490498.74</v>
      </c>
      <c r="BA20" s="819">
        <v>134550</v>
      </c>
      <c r="BB20" s="821">
        <v>90</v>
      </c>
      <c r="BC20" s="821">
        <v>85.994976588628802</v>
      </c>
      <c r="BD20" s="821">
        <v>10.08</v>
      </c>
      <c r="BE20" s="821"/>
      <c r="BF20" s="817" t="s">
        <v>815</v>
      </c>
      <c r="BG20" s="814"/>
      <c r="BH20" s="817" t="s">
        <v>540</v>
      </c>
      <c r="BI20" s="817" t="s">
        <v>843</v>
      </c>
      <c r="BJ20" s="817"/>
      <c r="BK20" s="817" t="s">
        <v>338</v>
      </c>
      <c r="BL20" s="815" t="s">
        <v>2</v>
      </c>
      <c r="BM20" s="821">
        <v>1055285.14341656</v>
      </c>
      <c r="BN20" s="815" t="s">
        <v>740</v>
      </c>
      <c r="BO20" s="821"/>
      <c r="BP20" s="822">
        <v>37760</v>
      </c>
      <c r="BQ20" s="822">
        <v>46873</v>
      </c>
      <c r="BR20" s="821">
        <v>71261.83</v>
      </c>
      <c r="BS20" s="821">
        <v>144.56</v>
      </c>
      <c r="BT20" s="821">
        <v>28.67</v>
      </c>
    </row>
    <row r="21" spans="1:72" s="802" customFormat="1" ht="18.2" customHeight="1" x14ac:dyDescent="0.15">
      <c r="A21" s="805">
        <v>19</v>
      </c>
      <c r="B21" s="806" t="s">
        <v>413</v>
      </c>
      <c r="C21" s="806" t="s">
        <v>25</v>
      </c>
      <c r="D21" s="807">
        <v>45505</v>
      </c>
      <c r="E21" s="808" t="s">
        <v>553</v>
      </c>
      <c r="F21" s="809">
        <v>145</v>
      </c>
      <c r="G21" s="809">
        <v>144</v>
      </c>
      <c r="H21" s="810">
        <v>46788.55</v>
      </c>
      <c r="I21" s="810">
        <v>69777.88</v>
      </c>
      <c r="J21" s="810">
        <v>0</v>
      </c>
      <c r="K21" s="810">
        <v>116566.43</v>
      </c>
      <c r="L21" s="810">
        <v>837.28</v>
      </c>
      <c r="M21" s="810">
        <v>0</v>
      </c>
      <c r="N21" s="810">
        <v>0</v>
      </c>
      <c r="O21" s="810">
        <v>0</v>
      </c>
      <c r="P21" s="810">
        <v>0</v>
      </c>
      <c r="Q21" s="810">
        <v>0</v>
      </c>
      <c r="R21" s="810">
        <v>0</v>
      </c>
      <c r="S21" s="810">
        <v>116566.43</v>
      </c>
      <c r="T21" s="810">
        <v>106877.84</v>
      </c>
      <c r="U21" s="810">
        <v>392.97</v>
      </c>
      <c r="V21" s="810">
        <v>0</v>
      </c>
      <c r="W21" s="810">
        <v>0</v>
      </c>
      <c r="X21" s="810">
        <v>0</v>
      </c>
      <c r="Y21" s="810">
        <v>0</v>
      </c>
      <c r="Z21" s="810">
        <v>0</v>
      </c>
      <c r="AA21" s="810">
        <v>107270.81</v>
      </c>
      <c r="AB21" s="810">
        <v>0</v>
      </c>
      <c r="AC21" s="810">
        <v>0</v>
      </c>
      <c r="AD21" s="810">
        <v>0</v>
      </c>
      <c r="AE21" s="810">
        <v>0</v>
      </c>
      <c r="AF21" s="810">
        <v>0</v>
      </c>
      <c r="AG21" s="810">
        <v>0</v>
      </c>
      <c r="AH21" s="810">
        <v>0</v>
      </c>
      <c r="AI21" s="810">
        <v>0</v>
      </c>
      <c r="AJ21" s="810">
        <v>0</v>
      </c>
      <c r="AK21" s="810">
        <v>0</v>
      </c>
      <c r="AL21" s="810">
        <v>0</v>
      </c>
      <c r="AM21" s="810">
        <v>0</v>
      </c>
      <c r="AN21" s="810">
        <v>0</v>
      </c>
      <c r="AO21" s="810">
        <v>0</v>
      </c>
      <c r="AP21" s="810">
        <v>0</v>
      </c>
      <c r="AQ21" s="810">
        <v>0</v>
      </c>
      <c r="AR21" s="810">
        <v>0</v>
      </c>
      <c r="AS21" s="810">
        <v>0</v>
      </c>
      <c r="AT21" s="810">
        <v>0</v>
      </c>
      <c r="AU21" s="810">
        <f t="shared" si="0"/>
        <v>0</v>
      </c>
      <c r="AV21" s="810">
        <v>70615.16</v>
      </c>
      <c r="AW21" s="810">
        <v>107270.81</v>
      </c>
      <c r="AX21" s="811">
        <v>44</v>
      </c>
      <c r="AY21" s="811">
        <v>300</v>
      </c>
      <c r="AZ21" s="810">
        <v>490498.74</v>
      </c>
      <c r="BA21" s="810">
        <v>134550</v>
      </c>
      <c r="BB21" s="812">
        <v>90</v>
      </c>
      <c r="BC21" s="812">
        <v>77.970856187291005</v>
      </c>
      <c r="BD21" s="812">
        <v>10.08</v>
      </c>
      <c r="BE21" s="812"/>
      <c r="BF21" s="808" t="s">
        <v>815</v>
      </c>
      <c r="BG21" s="805"/>
      <c r="BH21" s="808" t="s">
        <v>540</v>
      </c>
      <c r="BI21" s="808" t="s">
        <v>843</v>
      </c>
      <c r="BJ21" s="808"/>
      <c r="BK21" s="808" t="s">
        <v>338</v>
      </c>
      <c r="BL21" s="806" t="s">
        <v>2</v>
      </c>
      <c r="BM21" s="812">
        <v>956817.35629191995</v>
      </c>
      <c r="BN21" s="806" t="s">
        <v>740</v>
      </c>
      <c r="BO21" s="812"/>
      <c r="BP21" s="813">
        <v>37760</v>
      </c>
      <c r="BQ21" s="813">
        <v>46873</v>
      </c>
      <c r="BR21" s="812">
        <v>49129.98</v>
      </c>
      <c r="BS21" s="812">
        <v>144.56</v>
      </c>
      <c r="BT21" s="812">
        <v>28.67</v>
      </c>
    </row>
    <row r="22" spans="1:72" s="802" customFormat="1" ht="18.2" customHeight="1" x14ac:dyDescent="0.15">
      <c r="A22" s="814">
        <v>20</v>
      </c>
      <c r="B22" s="815" t="s">
        <v>413</v>
      </c>
      <c r="C22" s="815" t="s">
        <v>25</v>
      </c>
      <c r="D22" s="816">
        <v>45505</v>
      </c>
      <c r="E22" s="817" t="s">
        <v>844</v>
      </c>
      <c r="F22" s="818">
        <v>4</v>
      </c>
      <c r="G22" s="818">
        <v>3</v>
      </c>
      <c r="H22" s="819">
        <v>46778.62</v>
      </c>
      <c r="I22" s="819">
        <v>2258.48</v>
      </c>
      <c r="J22" s="819">
        <v>0</v>
      </c>
      <c r="K22" s="819">
        <v>49037.1</v>
      </c>
      <c r="L22" s="819">
        <v>837.36</v>
      </c>
      <c r="M22" s="819">
        <v>0</v>
      </c>
      <c r="N22" s="819">
        <v>0</v>
      </c>
      <c r="O22" s="819">
        <v>0</v>
      </c>
      <c r="P22" s="819">
        <v>0</v>
      </c>
      <c r="Q22" s="819">
        <v>0</v>
      </c>
      <c r="R22" s="819">
        <v>0</v>
      </c>
      <c r="S22" s="819">
        <v>49037.1</v>
      </c>
      <c r="T22" s="819">
        <v>812.9</v>
      </c>
      <c r="U22" s="819">
        <v>392.89</v>
      </c>
      <c r="V22" s="819">
        <v>0</v>
      </c>
      <c r="W22" s="819">
        <v>0</v>
      </c>
      <c r="X22" s="819">
        <v>0</v>
      </c>
      <c r="Y22" s="819">
        <v>0</v>
      </c>
      <c r="Z22" s="819">
        <v>0</v>
      </c>
      <c r="AA22" s="819">
        <v>1205.79</v>
      </c>
      <c r="AB22" s="819">
        <v>0</v>
      </c>
      <c r="AC22" s="819">
        <v>0</v>
      </c>
      <c r="AD22" s="819">
        <v>0</v>
      </c>
      <c r="AE22" s="819">
        <v>0</v>
      </c>
      <c r="AF22" s="819">
        <v>0</v>
      </c>
      <c r="AG22" s="819">
        <v>0</v>
      </c>
      <c r="AH22" s="819">
        <v>0</v>
      </c>
      <c r="AI22" s="819">
        <v>0</v>
      </c>
      <c r="AJ22" s="819">
        <v>0</v>
      </c>
      <c r="AK22" s="819">
        <v>0</v>
      </c>
      <c r="AL22" s="819">
        <v>0</v>
      </c>
      <c r="AM22" s="819">
        <v>0</v>
      </c>
      <c r="AN22" s="819">
        <v>0</v>
      </c>
      <c r="AO22" s="819">
        <v>0</v>
      </c>
      <c r="AP22" s="819">
        <v>0</v>
      </c>
      <c r="AQ22" s="819">
        <v>0</v>
      </c>
      <c r="AR22" s="819">
        <v>0</v>
      </c>
      <c r="AS22" s="819">
        <v>0</v>
      </c>
      <c r="AT22" s="819">
        <v>0</v>
      </c>
      <c r="AU22" s="819">
        <f t="shared" si="0"/>
        <v>0</v>
      </c>
      <c r="AV22" s="819">
        <v>3095.84</v>
      </c>
      <c r="AW22" s="819">
        <v>1205.79</v>
      </c>
      <c r="AX22" s="820">
        <v>44</v>
      </c>
      <c r="AY22" s="820">
        <v>300</v>
      </c>
      <c r="AZ22" s="819">
        <v>490498.74</v>
      </c>
      <c r="BA22" s="819">
        <v>134550</v>
      </c>
      <c r="BB22" s="821">
        <v>90</v>
      </c>
      <c r="BC22" s="821">
        <v>32.800735785953201</v>
      </c>
      <c r="BD22" s="821">
        <v>10.08</v>
      </c>
      <c r="BE22" s="821"/>
      <c r="BF22" s="817" t="s">
        <v>815</v>
      </c>
      <c r="BG22" s="814"/>
      <c r="BH22" s="817" t="s">
        <v>540</v>
      </c>
      <c r="BI22" s="817" t="s">
        <v>843</v>
      </c>
      <c r="BJ22" s="817"/>
      <c r="BK22" s="817" t="s">
        <v>828</v>
      </c>
      <c r="BL22" s="815" t="s">
        <v>2</v>
      </c>
      <c r="BM22" s="821">
        <v>402513.38556239998</v>
      </c>
      <c r="BN22" s="815" t="s">
        <v>740</v>
      </c>
      <c r="BO22" s="821"/>
      <c r="BP22" s="822">
        <v>37760</v>
      </c>
      <c r="BQ22" s="822">
        <v>46873</v>
      </c>
      <c r="BR22" s="821">
        <v>991.83</v>
      </c>
      <c r="BS22" s="821">
        <v>144.56</v>
      </c>
      <c r="BT22" s="821">
        <v>28.67</v>
      </c>
    </row>
    <row r="23" spans="1:72" s="802" customFormat="1" ht="18.2" customHeight="1" x14ac:dyDescent="0.15">
      <c r="A23" s="805">
        <v>21</v>
      </c>
      <c r="B23" s="806" t="s">
        <v>413</v>
      </c>
      <c r="C23" s="806" t="s">
        <v>25</v>
      </c>
      <c r="D23" s="807">
        <v>45505</v>
      </c>
      <c r="E23" s="808" t="s">
        <v>554</v>
      </c>
      <c r="F23" s="809">
        <v>76</v>
      </c>
      <c r="G23" s="809">
        <v>75</v>
      </c>
      <c r="H23" s="810">
        <v>49477.66</v>
      </c>
      <c r="I23" s="810">
        <v>48601.26</v>
      </c>
      <c r="J23" s="810">
        <v>0</v>
      </c>
      <c r="K23" s="810">
        <v>98078.92</v>
      </c>
      <c r="L23" s="810">
        <v>881.86</v>
      </c>
      <c r="M23" s="810">
        <v>0</v>
      </c>
      <c r="N23" s="810">
        <v>0</v>
      </c>
      <c r="O23" s="810">
        <v>0</v>
      </c>
      <c r="P23" s="810">
        <v>0</v>
      </c>
      <c r="Q23" s="810">
        <v>0</v>
      </c>
      <c r="R23" s="810">
        <v>0</v>
      </c>
      <c r="S23" s="810">
        <v>98078.92</v>
      </c>
      <c r="T23" s="810">
        <v>48442.65</v>
      </c>
      <c r="U23" s="810">
        <v>423.8</v>
      </c>
      <c r="V23" s="810">
        <v>0</v>
      </c>
      <c r="W23" s="810">
        <v>0</v>
      </c>
      <c r="X23" s="810">
        <v>0</v>
      </c>
      <c r="Y23" s="810">
        <v>0</v>
      </c>
      <c r="Z23" s="810">
        <v>0</v>
      </c>
      <c r="AA23" s="810">
        <v>48866.45</v>
      </c>
      <c r="AB23" s="810">
        <v>0</v>
      </c>
      <c r="AC23" s="810">
        <v>0</v>
      </c>
      <c r="AD23" s="810">
        <v>0</v>
      </c>
      <c r="AE23" s="810">
        <v>0</v>
      </c>
      <c r="AF23" s="810">
        <v>0</v>
      </c>
      <c r="AG23" s="810">
        <v>0</v>
      </c>
      <c r="AH23" s="810">
        <v>0</v>
      </c>
      <c r="AI23" s="810">
        <v>0</v>
      </c>
      <c r="AJ23" s="810">
        <v>0</v>
      </c>
      <c r="AK23" s="810">
        <v>0</v>
      </c>
      <c r="AL23" s="810">
        <v>0</v>
      </c>
      <c r="AM23" s="810">
        <v>0</v>
      </c>
      <c r="AN23" s="810">
        <v>0</v>
      </c>
      <c r="AO23" s="810">
        <v>0</v>
      </c>
      <c r="AP23" s="810">
        <v>0</v>
      </c>
      <c r="AQ23" s="810">
        <v>0</v>
      </c>
      <c r="AR23" s="810">
        <v>0</v>
      </c>
      <c r="AS23" s="810">
        <v>0</v>
      </c>
      <c r="AT23" s="810">
        <v>0</v>
      </c>
      <c r="AU23" s="810">
        <f t="shared" si="0"/>
        <v>0</v>
      </c>
      <c r="AV23" s="810">
        <v>49483.12</v>
      </c>
      <c r="AW23" s="810">
        <v>48866.45</v>
      </c>
      <c r="AX23" s="811">
        <v>45</v>
      </c>
      <c r="AY23" s="811">
        <v>300</v>
      </c>
      <c r="AZ23" s="810">
        <v>512645</v>
      </c>
      <c r="BA23" s="810">
        <v>140618.89000000001</v>
      </c>
      <c r="BB23" s="812">
        <v>90</v>
      </c>
      <c r="BC23" s="812">
        <v>62.773236227365999</v>
      </c>
      <c r="BD23" s="812">
        <v>10.28</v>
      </c>
      <c r="BE23" s="812"/>
      <c r="BF23" s="808" t="s">
        <v>815</v>
      </c>
      <c r="BG23" s="805"/>
      <c r="BH23" s="808" t="s">
        <v>821</v>
      </c>
      <c r="BI23" s="808" t="s">
        <v>845</v>
      </c>
      <c r="BJ23" s="808"/>
      <c r="BK23" s="808" t="s">
        <v>338</v>
      </c>
      <c r="BL23" s="806" t="s">
        <v>2</v>
      </c>
      <c r="BM23" s="812">
        <v>805065.51450847997</v>
      </c>
      <c r="BN23" s="806" t="s">
        <v>740</v>
      </c>
      <c r="BO23" s="812"/>
      <c r="BP23" s="813">
        <v>37761</v>
      </c>
      <c r="BQ23" s="813">
        <v>46873</v>
      </c>
      <c r="BR23" s="812">
        <v>25920.54</v>
      </c>
      <c r="BS23" s="812">
        <v>146.56</v>
      </c>
      <c r="BT23" s="812">
        <v>28.19</v>
      </c>
    </row>
    <row r="24" spans="1:72" s="802" customFormat="1" ht="18.2" customHeight="1" x14ac:dyDescent="0.15">
      <c r="A24" s="814">
        <v>22</v>
      </c>
      <c r="B24" s="815" t="s">
        <v>413</v>
      </c>
      <c r="C24" s="815" t="s">
        <v>25</v>
      </c>
      <c r="D24" s="816">
        <v>45505</v>
      </c>
      <c r="E24" s="817" t="s">
        <v>846</v>
      </c>
      <c r="F24" s="818">
        <v>1</v>
      </c>
      <c r="G24" s="818">
        <v>1</v>
      </c>
      <c r="H24" s="819">
        <v>15865.22</v>
      </c>
      <c r="I24" s="819">
        <v>17.71</v>
      </c>
      <c r="J24" s="819">
        <v>0</v>
      </c>
      <c r="K24" s="819">
        <v>15882.93</v>
      </c>
      <c r="L24" s="819">
        <v>1104.17</v>
      </c>
      <c r="M24" s="819">
        <v>0</v>
      </c>
      <c r="N24" s="819">
        <v>0</v>
      </c>
      <c r="O24" s="819">
        <v>0</v>
      </c>
      <c r="P24" s="819">
        <v>1099.5999999999999</v>
      </c>
      <c r="Q24" s="819">
        <v>0</v>
      </c>
      <c r="R24" s="819">
        <v>0</v>
      </c>
      <c r="S24" s="819">
        <v>14783.33</v>
      </c>
      <c r="T24" s="819">
        <v>0</v>
      </c>
      <c r="U24" s="819">
        <v>135.91</v>
      </c>
      <c r="V24" s="819">
        <v>0</v>
      </c>
      <c r="W24" s="819">
        <v>0</v>
      </c>
      <c r="X24" s="819">
        <v>135.91</v>
      </c>
      <c r="Y24" s="819">
        <v>0</v>
      </c>
      <c r="Z24" s="819">
        <v>0</v>
      </c>
      <c r="AA24" s="819">
        <v>0</v>
      </c>
      <c r="AB24" s="819">
        <v>139.19</v>
      </c>
      <c r="AC24" s="819">
        <v>0</v>
      </c>
      <c r="AD24" s="819">
        <v>0</v>
      </c>
      <c r="AE24" s="819">
        <v>0</v>
      </c>
      <c r="AF24" s="819">
        <v>0</v>
      </c>
      <c r="AG24" s="819">
        <v>0</v>
      </c>
      <c r="AH24" s="819">
        <v>73.14</v>
      </c>
      <c r="AI24" s="819">
        <v>83.59</v>
      </c>
      <c r="AJ24" s="819">
        <v>0</v>
      </c>
      <c r="AK24" s="819">
        <v>0</v>
      </c>
      <c r="AL24" s="819">
        <v>0</v>
      </c>
      <c r="AM24" s="819">
        <v>28.18</v>
      </c>
      <c r="AN24" s="819">
        <v>0</v>
      </c>
      <c r="AO24" s="819">
        <v>0</v>
      </c>
      <c r="AP24" s="819">
        <v>0.24</v>
      </c>
      <c r="AQ24" s="819">
        <v>4.0000000000000001E-3</v>
      </c>
      <c r="AR24" s="819">
        <v>0</v>
      </c>
      <c r="AS24" s="819">
        <v>0</v>
      </c>
      <c r="AT24" s="819">
        <v>28.18</v>
      </c>
      <c r="AU24" s="819">
        <f t="shared" si="0"/>
        <v>1531.6739999999998</v>
      </c>
      <c r="AV24" s="819">
        <v>22.28</v>
      </c>
      <c r="AW24" s="819">
        <v>0</v>
      </c>
      <c r="AX24" s="820">
        <v>44</v>
      </c>
      <c r="AY24" s="820">
        <v>300</v>
      </c>
      <c r="AZ24" s="819">
        <v>486935</v>
      </c>
      <c r="BA24" s="819">
        <v>133555.38</v>
      </c>
      <c r="BB24" s="821">
        <v>90</v>
      </c>
      <c r="BC24" s="821">
        <v>9.9621572713880902</v>
      </c>
      <c r="BD24" s="821">
        <v>10.28</v>
      </c>
      <c r="BE24" s="821"/>
      <c r="BF24" s="817" t="s">
        <v>815</v>
      </c>
      <c r="BG24" s="814"/>
      <c r="BH24" s="817" t="s">
        <v>834</v>
      </c>
      <c r="BI24" s="817" t="s">
        <v>835</v>
      </c>
      <c r="BJ24" s="817"/>
      <c r="BK24" s="817" t="s">
        <v>828</v>
      </c>
      <c r="BL24" s="815" t="s">
        <v>2</v>
      </c>
      <c r="BM24" s="821">
        <v>121346.65810551999</v>
      </c>
      <c r="BN24" s="815" t="s">
        <v>740</v>
      </c>
      <c r="BO24" s="821"/>
      <c r="BP24" s="822">
        <v>37763</v>
      </c>
      <c r="BQ24" s="822">
        <v>46873</v>
      </c>
      <c r="BR24" s="821">
        <v>0</v>
      </c>
      <c r="BS24" s="821">
        <v>139.19</v>
      </c>
      <c r="BT24" s="821">
        <v>28.18</v>
      </c>
    </row>
    <row r="25" spans="1:72" s="802" customFormat="1" ht="18.2" customHeight="1" x14ac:dyDescent="0.15">
      <c r="A25" s="805">
        <v>23</v>
      </c>
      <c r="B25" s="806" t="s">
        <v>413</v>
      </c>
      <c r="C25" s="806" t="s">
        <v>25</v>
      </c>
      <c r="D25" s="807">
        <v>45505</v>
      </c>
      <c r="E25" s="808" t="s">
        <v>847</v>
      </c>
      <c r="F25" s="809">
        <v>0</v>
      </c>
      <c r="G25" s="809">
        <v>0</v>
      </c>
      <c r="H25" s="810">
        <v>41356.14</v>
      </c>
      <c r="I25" s="810">
        <v>0</v>
      </c>
      <c r="J25" s="810">
        <v>0</v>
      </c>
      <c r="K25" s="810">
        <v>41356.14</v>
      </c>
      <c r="L25" s="810">
        <v>830.32</v>
      </c>
      <c r="M25" s="810">
        <v>0</v>
      </c>
      <c r="N25" s="810">
        <v>0</v>
      </c>
      <c r="O25" s="810">
        <v>0</v>
      </c>
      <c r="P25" s="810">
        <v>830.32</v>
      </c>
      <c r="Q25" s="810">
        <v>0</v>
      </c>
      <c r="R25" s="810">
        <v>0</v>
      </c>
      <c r="S25" s="810">
        <v>40525.82</v>
      </c>
      <c r="T25" s="810">
        <v>0</v>
      </c>
      <c r="U25" s="810">
        <v>347.39</v>
      </c>
      <c r="V25" s="810">
        <v>0</v>
      </c>
      <c r="W25" s="810">
        <v>0</v>
      </c>
      <c r="X25" s="810">
        <v>347.39</v>
      </c>
      <c r="Y25" s="810">
        <v>0</v>
      </c>
      <c r="Z25" s="810">
        <v>0</v>
      </c>
      <c r="AA25" s="810">
        <v>0</v>
      </c>
      <c r="AB25" s="810">
        <v>150.04</v>
      </c>
      <c r="AC25" s="810">
        <v>84.5</v>
      </c>
      <c r="AD25" s="810">
        <v>0</v>
      </c>
      <c r="AE25" s="810">
        <v>0</v>
      </c>
      <c r="AF25" s="810">
        <v>0</v>
      </c>
      <c r="AG25" s="810">
        <v>0</v>
      </c>
      <c r="AH25" s="810">
        <v>70.41</v>
      </c>
      <c r="AI25" s="810">
        <v>80.84</v>
      </c>
      <c r="AJ25" s="810">
        <v>0</v>
      </c>
      <c r="AK25" s="810">
        <v>0</v>
      </c>
      <c r="AL25" s="810">
        <v>0</v>
      </c>
      <c r="AM25" s="810">
        <v>0</v>
      </c>
      <c r="AN25" s="810">
        <v>0</v>
      </c>
      <c r="AO25" s="810">
        <v>0</v>
      </c>
      <c r="AP25" s="810">
        <v>0</v>
      </c>
      <c r="AQ25" s="810">
        <v>5.1999999999999998E-2</v>
      </c>
      <c r="AR25" s="810">
        <v>0</v>
      </c>
      <c r="AS25" s="810">
        <v>0</v>
      </c>
      <c r="AT25" s="810">
        <v>0</v>
      </c>
      <c r="AU25" s="810">
        <f t="shared" si="0"/>
        <v>1563.5520000000001</v>
      </c>
      <c r="AV25" s="810">
        <v>0</v>
      </c>
      <c r="AW25" s="810">
        <v>0</v>
      </c>
      <c r="AX25" s="811">
        <v>40</v>
      </c>
      <c r="AY25" s="811">
        <v>300</v>
      </c>
      <c r="AZ25" s="810">
        <v>474134.12</v>
      </c>
      <c r="BA25" s="810">
        <v>128803</v>
      </c>
      <c r="BB25" s="812">
        <v>89.14</v>
      </c>
      <c r="BC25" s="812">
        <v>28.046486454508099</v>
      </c>
      <c r="BD25" s="812">
        <v>10.08</v>
      </c>
      <c r="BE25" s="812"/>
      <c r="BF25" s="808" t="s">
        <v>815</v>
      </c>
      <c r="BG25" s="805"/>
      <c r="BH25" s="808" t="s">
        <v>816</v>
      </c>
      <c r="BI25" s="808" t="s">
        <v>820</v>
      </c>
      <c r="BJ25" s="808"/>
      <c r="BK25" s="808" t="s">
        <v>309</v>
      </c>
      <c r="BL25" s="806" t="s">
        <v>2</v>
      </c>
      <c r="BM25" s="812">
        <v>332649.87144208001</v>
      </c>
      <c r="BN25" s="806" t="s">
        <v>740</v>
      </c>
      <c r="BO25" s="812"/>
      <c r="BP25" s="813">
        <v>37762</v>
      </c>
      <c r="BQ25" s="813">
        <v>46873</v>
      </c>
      <c r="BR25" s="812">
        <v>0</v>
      </c>
      <c r="BS25" s="812">
        <v>150.04</v>
      </c>
      <c r="BT25" s="812">
        <v>84.5</v>
      </c>
    </row>
    <row r="26" spans="1:72" s="802" customFormat="1" ht="18.2" customHeight="1" x14ac:dyDescent="0.15">
      <c r="A26" s="814">
        <v>24</v>
      </c>
      <c r="B26" s="815" t="s">
        <v>413</v>
      </c>
      <c r="C26" s="815" t="s">
        <v>25</v>
      </c>
      <c r="D26" s="816">
        <v>45505</v>
      </c>
      <c r="E26" s="817" t="s">
        <v>848</v>
      </c>
      <c r="F26" s="818">
        <v>0</v>
      </c>
      <c r="G26" s="818">
        <v>0</v>
      </c>
      <c r="H26" s="819">
        <v>20674.39</v>
      </c>
      <c r="I26" s="819">
        <v>0</v>
      </c>
      <c r="J26" s="819">
        <v>0</v>
      </c>
      <c r="K26" s="819">
        <v>20674.39</v>
      </c>
      <c r="L26" s="819">
        <v>361.3</v>
      </c>
      <c r="M26" s="819">
        <v>0</v>
      </c>
      <c r="N26" s="819">
        <v>0</v>
      </c>
      <c r="O26" s="819">
        <v>0</v>
      </c>
      <c r="P26" s="819">
        <v>361.3</v>
      </c>
      <c r="Q26" s="819">
        <v>0</v>
      </c>
      <c r="R26" s="819">
        <v>0</v>
      </c>
      <c r="S26" s="819">
        <v>20313.09</v>
      </c>
      <c r="T26" s="819">
        <v>0</v>
      </c>
      <c r="U26" s="819">
        <v>171.77</v>
      </c>
      <c r="V26" s="819">
        <v>0</v>
      </c>
      <c r="W26" s="819">
        <v>0</v>
      </c>
      <c r="X26" s="819">
        <v>171.77</v>
      </c>
      <c r="Y26" s="819">
        <v>0</v>
      </c>
      <c r="Z26" s="819">
        <v>0</v>
      </c>
      <c r="AA26" s="819">
        <v>0</v>
      </c>
      <c r="AB26" s="819">
        <v>100</v>
      </c>
      <c r="AC26" s="819">
        <v>0</v>
      </c>
      <c r="AD26" s="819">
        <v>0</v>
      </c>
      <c r="AE26" s="819">
        <v>0</v>
      </c>
      <c r="AF26" s="819">
        <v>0</v>
      </c>
      <c r="AG26" s="819">
        <v>0</v>
      </c>
      <c r="AH26" s="819">
        <v>33.49</v>
      </c>
      <c r="AI26" s="819">
        <v>52.72</v>
      </c>
      <c r="AJ26" s="819">
        <v>0</v>
      </c>
      <c r="AK26" s="819">
        <v>0</v>
      </c>
      <c r="AL26" s="819">
        <v>0</v>
      </c>
      <c r="AM26" s="819">
        <v>0</v>
      </c>
      <c r="AN26" s="819">
        <v>0</v>
      </c>
      <c r="AO26" s="819">
        <v>0</v>
      </c>
      <c r="AP26" s="819">
        <v>0</v>
      </c>
      <c r="AQ26" s="819">
        <v>4.9000000000000002E-2</v>
      </c>
      <c r="AR26" s="819">
        <v>0</v>
      </c>
      <c r="AS26" s="819">
        <v>0</v>
      </c>
      <c r="AT26" s="819">
        <v>0</v>
      </c>
      <c r="AU26" s="819">
        <f t="shared" si="0"/>
        <v>719.32899999999995</v>
      </c>
      <c r="AV26" s="819">
        <v>0</v>
      </c>
      <c r="AW26" s="819">
        <v>0</v>
      </c>
      <c r="AX26" s="820">
        <v>45</v>
      </c>
      <c r="AY26" s="820">
        <v>300</v>
      </c>
      <c r="AZ26" s="819">
        <v>320508.90000000002</v>
      </c>
      <c r="BA26" s="819">
        <v>58800</v>
      </c>
      <c r="BB26" s="821">
        <v>60</v>
      </c>
      <c r="BC26" s="821">
        <v>20.7276428571429</v>
      </c>
      <c r="BD26" s="821">
        <v>9.9700000000000006</v>
      </c>
      <c r="BE26" s="821"/>
      <c r="BF26" s="817" t="s">
        <v>815</v>
      </c>
      <c r="BG26" s="814"/>
      <c r="BH26" s="817" t="s">
        <v>540</v>
      </c>
      <c r="BI26" s="817" t="s">
        <v>840</v>
      </c>
      <c r="BJ26" s="817"/>
      <c r="BK26" s="817" t="s">
        <v>309</v>
      </c>
      <c r="BL26" s="815" t="s">
        <v>2</v>
      </c>
      <c r="BM26" s="821">
        <v>166736.83042295999</v>
      </c>
      <c r="BN26" s="815" t="s">
        <v>740</v>
      </c>
      <c r="BO26" s="821"/>
      <c r="BP26" s="822">
        <v>37791</v>
      </c>
      <c r="BQ26" s="822">
        <v>46905</v>
      </c>
      <c r="BR26" s="821">
        <v>0</v>
      </c>
      <c r="BS26" s="821">
        <v>100</v>
      </c>
      <c r="BT26" s="821">
        <v>0</v>
      </c>
    </row>
    <row r="27" spans="1:72" s="802" customFormat="1" ht="18.2" customHeight="1" x14ac:dyDescent="0.15">
      <c r="A27" s="805">
        <v>25</v>
      </c>
      <c r="B27" s="806" t="s">
        <v>413</v>
      </c>
      <c r="C27" s="806" t="s">
        <v>25</v>
      </c>
      <c r="D27" s="807">
        <v>45505</v>
      </c>
      <c r="E27" s="808" t="s">
        <v>850</v>
      </c>
      <c r="F27" s="809">
        <v>0</v>
      </c>
      <c r="G27" s="809">
        <v>0</v>
      </c>
      <c r="H27" s="810">
        <v>32206.99</v>
      </c>
      <c r="I27" s="810">
        <v>0</v>
      </c>
      <c r="J27" s="810">
        <v>0</v>
      </c>
      <c r="K27" s="810">
        <v>32206.99</v>
      </c>
      <c r="L27" s="810">
        <v>562.12</v>
      </c>
      <c r="M27" s="810">
        <v>0</v>
      </c>
      <c r="N27" s="810">
        <v>0</v>
      </c>
      <c r="O27" s="810">
        <v>0</v>
      </c>
      <c r="P27" s="810">
        <v>562.12</v>
      </c>
      <c r="Q27" s="810">
        <v>0</v>
      </c>
      <c r="R27" s="810">
        <v>0</v>
      </c>
      <c r="S27" s="810">
        <v>31644.87</v>
      </c>
      <c r="T27" s="810">
        <v>0</v>
      </c>
      <c r="U27" s="810">
        <v>266.77999999999997</v>
      </c>
      <c r="V27" s="810">
        <v>0</v>
      </c>
      <c r="W27" s="810">
        <v>0</v>
      </c>
      <c r="X27" s="810">
        <v>266.77999999999997</v>
      </c>
      <c r="Y27" s="810">
        <v>0</v>
      </c>
      <c r="Z27" s="810">
        <v>0</v>
      </c>
      <c r="AA27" s="810">
        <v>0</v>
      </c>
      <c r="AB27" s="810">
        <v>117.55</v>
      </c>
      <c r="AC27" s="810">
        <v>0</v>
      </c>
      <c r="AD27" s="810">
        <v>0</v>
      </c>
      <c r="AE27" s="810">
        <v>0</v>
      </c>
      <c r="AF27" s="810">
        <v>0</v>
      </c>
      <c r="AG27" s="810">
        <v>0</v>
      </c>
      <c r="AH27" s="810">
        <v>50.19</v>
      </c>
      <c r="AI27" s="810">
        <v>57.51</v>
      </c>
      <c r="AJ27" s="810">
        <v>0</v>
      </c>
      <c r="AK27" s="810">
        <v>0</v>
      </c>
      <c r="AL27" s="810">
        <v>0</v>
      </c>
      <c r="AM27" s="810">
        <v>0</v>
      </c>
      <c r="AN27" s="810">
        <v>0</v>
      </c>
      <c r="AO27" s="810">
        <v>0</v>
      </c>
      <c r="AP27" s="810">
        <v>0</v>
      </c>
      <c r="AQ27" s="810">
        <v>1.748</v>
      </c>
      <c r="AR27" s="810">
        <v>0</v>
      </c>
      <c r="AS27" s="810">
        <v>0</v>
      </c>
      <c r="AT27" s="810">
        <v>0</v>
      </c>
      <c r="AU27" s="810">
        <f t="shared" si="0"/>
        <v>1055.8979999999999</v>
      </c>
      <c r="AV27" s="810">
        <v>0</v>
      </c>
      <c r="AW27" s="810">
        <v>0</v>
      </c>
      <c r="AX27" s="811">
        <v>46</v>
      </c>
      <c r="AY27" s="811">
        <v>300</v>
      </c>
      <c r="AZ27" s="810">
        <v>824000</v>
      </c>
      <c r="BA27" s="810">
        <v>91644.33</v>
      </c>
      <c r="BB27" s="812">
        <v>36.409999999999997</v>
      </c>
      <c r="BC27" s="812">
        <v>12.572405916438001</v>
      </c>
      <c r="BD27" s="812">
        <v>9.94</v>
      </c>
      <c r="BE27" s="812"/>
      <c r="BF27" s="808" t="s">
        <v>815</v>
      </c>
      <c r="BG27" s="805"/>
      <c r="BH27" s="808" t="s">
        <v>821</v>
      </c>
      <c r="BI27" s="808" t="s">
        <v>822</v>
      </c>
      <c r="BJ27" s="808"/>
      <c r="BK27" s="808" t="s">
        <v>309</v>
      </c>
      <c r="BL27" s="806" t="s">
        <v>2</v>
      </c>
      <c r="BM27" s="812">
        <v>259751.97879528001</v>
      </c>
      <c r="BN27" s="806" t="s">
        <v>740</v>
      </c>
      <c r="BO27" s="812"/>
      <c r="BP27" s="813">
        <v>37823</v>
      </c>
      <c r="BQ27" s="813">
        <v>46934</v>
      </c>
      <c r="BR27" s="812">
        <v>0</v>
      </c>
      <c r="BS27" s="812">
        <v>117.55</v>
      </c>
      <c r="BT27" s="812">
        <v>0</v>
      </c>
    </row>
    <row r="28" spans="1:72" s="802" customFormat="1" ht="18.2" customHeight="1" x14ac:dyDescent="0.15">
      <c r="A28" s="814">
        <v>26</v>
      </c>
      <c r="B28" s="815" t="s">
        <v>413</v>
      </c>
      <c r="C28" s="815" t="s">
        <v>25</v>
      </c>
      <c r="D28" s="816">
        <v>45505</v>
      </c>
      <c r="E28" s="817" t="s">
        <v>555</v>
      </c>
      <c r="F28" s="818">
        <v>34</v>
      </c>
      <c r="G28" s="818">
        <v>34</v>
      </c>
      <c r="H28" s="819">
        <v>0</v>
      </c>
      <c r="I28" s="819">
        <v>8008.35</v>
      </c>
      <c r="J28" s="819">
        <v>0</v>
      </c>
      <c r="K28" s="819">
        <v>8008.35</v>
      </c>
      <c r="L28" s="819">
        <v>0</v>
      </c>
      <c r="M28" s="819">
        <v>0</v>
      </c>
      <c r="N28" s="819">
        <v>0</v>
      </c>
      <c r="O28" s="819">
        <v>0</v>
      </c>
      <c r="P28" s="819">
        <v>0</v>
      </c>
      <c r="Q28" s="819">
        <v>0</v>
      </c>
      <c r="R28" s="819">
        <v>0</v>
      </c>
      <c r="S28" s="819">
        <v>8008.35</v>
      </c>
      <c r="T28" s="819">
        <v>1181.44</v>
      </c>
      <c r="U28" s="819">
        <v>0</v>
      </c>
      <c r="V28" s="819">
        <v>0</v>
      </c>
      <c r="W28" s="819">
        <v>0</v>
      </c>
      <c r="X28" s="819">
        <v>0</v>
      </c>
      <c r="Y28" s="819">
        <v>0</v>
      </c>
      <c r="Z28" s="819">
        <v>0</v>
      </c>
      <c r="AA28" s="819">
        <v>1181.44</v>
      </c>
      <c r="AB28" s="819">
        <v>0</v>
      </c>
      <c r="AC28" s="819">
        <v>0</v>
      </c>
      <c r="AD28" s="819">
        <v>0</v>
      </c>
      <c r="AE28" s="819">
        <v>0</v>
      </c>
      <c r="AF28" s="819">
        <v>0</v>
      </c>
      <c r="AG28" s="819">
        <v>0</v>
      </c>
      <c r="AH28" s="819">
        <v>0</v>
      </c>
      <c r="AI28" s="819">
        <v>0</v>
      </c>
      <c r="AJ28" s="819">
        <v>0</v>
      </c>
      <c r="AK28" s="819">
        <v>0</v>
      </c>
      <c r="AL28" s="819">
        <v>0</v>
      </c>
      <c r="AM28" s="819">
        <v>0</v>
      </c>
      <c r="AN28" s="819">
        <v>0</v>
      </c>
      <c r="AO28" s="819">
        <v>0</v>
      </c>
      <c r="AP28" s="819">
        <v>0</v>
      </c>
      <c r="AQ28" s="819">
        <v>0</v>
      </c>
      <c r="AR28" s="819">
        <v>0</v>
      </c>
      <c r="AS28" s="819">
        <v>0</v>
      </c>
      <c r="AT28" s="819">
        <v>0</v>
      </c>
      <c r="AU28" s="819">
        <f t="shared" si="0"/>
        <v>0</v>
      </c>
      <c r="AV28" s="819">
        <v>8008.35</v>
      </c>
      <c r="AW28" s="819">
        <v>1181.44</v>
      </c>
      <c r="AX28" s="820">
        <v>0</v>
      </c>
      <c r="AY28" s="820">
        <v>300</v>
      </c>
      <c r="AZ28" s="819">
        <v>392000</v>
      </c>
      <c r="BA28" s="819">
        <v>30568</v>
      </c>
      <c r="BB28" s="821">
        <v>25.55</v>
      </c>
      <c r="BC28" s="821">
        <v>6.6937104979063102</v>
      </c>
      <c r="BD28" s="821">
        <v>9.7899999999999991</v>
      </c>
      <c r="BE28" s="821"/>
      <c r="BF28" s="817" t="s">
        <v>815</v>
      </c>
      <c r="BG28" s="814"/>
      <c r="BH28" s="817" t="s">
        <v>834</v>
      </c>
      <c r="BI28" s="817" t="s">
        <v>851</v>
      </c>
      <c r="BJ28" s="817"/>
      <c r="BK28" s="817" t="s">
        <v>338</v>
      </c>
      <c r="BL28" s="815" t="s">
        <v>2</v>
      </c>
      <c r="BM28" s="821">
        <v>65735.291672399995</v>
      </c>
      <c r="BN28" s="815" t="s">
        <v>740</v>
      </c>
      <c r="BO28" s="821"/>
      <c r="BP28" s="822">
        <v>37841</v>
      </c>
      <c r="BQ28" s="822">
        <v>46966</v>
      </c>
      <c r="BR28" s="821">
        <v>7214.41</v>
      </c>
      <c r="BS28" s="821">
        <v>0</v>
      </c>
      <c r="BT28" s="821">
        <v>34.18</v>
      </c>
    </row>
    <row r="29" spans="1:72" s="802" customFormat="1" ht="18.2" customHeight="1" x14ac:dyDescent="0.15">
      <c r="A29" s="805">
        <v>27</v>
      </c>
      <c r="B29" s="806" t="s">
        <v>413</v>
      </c>
      <c r="C29" s="806" t="s">
        <v>25</v>
      </c>
      <c r="D29" s="807">
        <v>45505</v>
      </c>
      <c r="E29" s="808" t="s">
        <v>852</v>
      </c>
      <c r="F29" s="809">
        <v>0</v>
      </c>
      <c r="G29" s="809">
        <v>0</v>
      </c>
      <c r="H29" s="810">
        <v>16802.650000000001</v>
      </c>
      <c r="I29" s="810">
        <v>0</v>
      </c>
      <c r="J29" s="810">
        <v>0</v>
      </c>
      <c r="K29" s="810">
        <v>16802.650000000001</v>
      </c>
      <c r="L29" s="810">
        <v>289.16000000000003</v>
      </c>
      <c r="M29" s="810">
        <v>0</v>
      </c>
      <c r="N29" s="810">
        <v>0</v>
      </c>
      <c r="O29" s="810">
        <v>0</v>
      </c>
      <c r="P29" s="810">
        <v>289.16000000000003</v>
      </c>
      <c r="Q29" s="810">
        <v>0</v>
      </c>
      <c r="R29" s="810">
        <v>0</v>
      </c>
      <c r="S29" s="810">
        <v>16513.490000000002</v>
      </c>
      <c r="T29" s="810">
        <v>0</v>
      </c>
      <c r="U29" s="810">
        <v>139.18</v>
      </c>
      <c r="V29" s="810">
        <v>0</v>
      </c>
      <c r="W29" s="810">
        <v>0</v>
      </c>
      <c r="X29" s="810">
        <v>139.18</v>
      </c>
      <c r="Y29" s="810">
        <v>0</v>
      </c>
      <c r="Z29" s="810">
        <v>0</v>
      </c>
      <c r="AA29" s="810">
        <v>0</v>
      </c>
      <c r="AB29" s="810">
        <v>100</v>
      </c>
      <c r="AC29" s="810">
        <v>0</v>
      </c>
      <c r="AD29" s="810">
        <v>0</v>
      </c>
      <c r="AE29" s="810">
        <v>0</v>
      </c>
      <c r="AF29" s="810">
        <v>0</v>
      </c>
      <c r="AG29" s="810">
        <v>0</v>
      </c>
      <c r="AH29" s="810">
        <v>27.9</v>
      </c>
      <c r="AI29" s="810">
        <v>29.76</v>
      </c>
      <c r="AJ29" s="810">
        <v>0</v>
      </c>
      <c r="AK29" s="810">
        <v>0</v>
      </c>
      <c r="AL29" s="810">
        <v>0</v>
      </c>
      <c r="AM29" s="810">
        <v>0</v>
      </c>
      <c r="AN29" s="810">
        <v>0</v>
      </c>
      <c r="AO29" s="810">
        <v>0</v>
      </c>
      <c r="AP29" s="810">
        <v>0</v>
      </c>
      <c r="AQ29" s="810">
        <v>3.6999999999999998E-2</v>
      </c>
      <c r="AR29" s="810">
        <v>0</v>
      </c>
      <c r="AS29" s="810">
        <v>0</v>
      </c>
      <c r="AT29" s="810">
        <v>0</v>
      </c>
      <c r="AU29" s="810">
        <f t="shared" si="0"/>
        <v>586.03700000000003</v>
      </c>
      <c r="AV29" s="810">
        <v>0</v>
      </c>
      <c r="AW29" s="810">
        <v>0</v>
      </c>
      <c r="AX29" s="811">
        <v>46</v>
      </c>
      <c r="AY29" s="811">
        <v>300</v>
      </c>
      <c r="AZ29" s="810">
        <v>255000</v>
      </c>
      <c r="BA29" s="810">
        <v>47358.11</v>
      </c>
      <c r="BB29" s="812">
        <v>60.78</v>
      </c>
      <c r="BC29" s="812">
        <v>21.193622849391598</v>
      </c>
      <c r="BD29" s="812">
        <v>9.94</v>
      </c>
      <c r="BE29" s="812"/>
      <c r="BF29" s="808" t="s">
        <v>815</v>
      </c>
      <c r="BG29" s="805"/>
      <c r="BH29" s="808" t="s">
        <v>823</v>
      </c>
      <c r="BI29" s="808" t="s">
        <v>824</v>
      </c>
      <c r="BJ29" s="808" t="s">
        <v>853</v>
      </c>
      <c r="BK29" s="808" t="s">
        <v>309</v>
      </c>
      <c r="BL29" s="806" t="s">
        <v>2</v>
      </c>
      <c r="BM29" s="812">
        <v>135548.40656055999</v>
      </c>
      <c r="BN29" s="806" t="s">
        <v>740</v>
      </c>
      <c r="BO29" s="812"/>
      <c r="BP29" s="813">
        <v>37820</v>
      </c>
      <c r="BQ29" s="813">
        <v>46934</v>
      </c>
      <c r="BR29" s="812">
        <v>0</v>
      </c>
      <c r="BS29" s="812">
        <v>100</v>
      </c>
      <c r="BT29" s="812">
        <v>0</v>
      </c>
    </row>
    <row r="30" spans="1:72" s="802" customFormat="1" ht="18.2" customHeight="1" x14ac:dyDescent="0.15">
      <c r="A30" s="814">
        <v>28</v>
      </c>
      <c r="B30" s="815" t="s">
        <v>413</v>
      </c>
      <c r="C30" s="815" t="s">
        <v>25</v>
      </c>
      <c r="D30" s="816">
        <v>45505</v>
      </c>
      <c r="E30" s="817" t="s">
        <v>556</v>
      </c>
      <c r="F30" s="818">
        <v>154</v>
      </c>
      <c r="G30" s="818">
        <v>153</v>
      </c>
      <c r="H30" s="819">
        <v>49575.46</v>
      </c>
      <c r="I30" s="819">
        <v>69749.53</v>
      </c>
      <c r="J30" s="819">
        <v>0</v>
      </c>
      <c r="K30" s="819">
        <v>119324.99</v>
      </c>
      <c r="L30" s="819">
        <v>804.77</v>
      </c>
      <c r="M30" s="819">
        <v>0</v>
      </c>
      <c r="N30" s="819">
        <v>0</v>
      </c>
      <c r="O30" s="819">
        <v>0</v>
      </c>
      <c r="P30" s="819">
        <v>0</v>
      </c>
      <c r="Q30" s="819">
        <v>0</v>
      </c>
      <c r="R30" s="819">
        <v>0</v>
      </c>
      <c r="S30" s="819">
        <v>119324.99</v>
      </c>
      <c r="T30" s="819">
        <v>116006.46</v>
      </c>
      <c r="U30" s="819">
        <v>409.36</v>
      </c>
      <c r="V30" s="819">
        <v>0</v>
      </c>
      <c r="W30" s="819">
        <v>0</v>
      </c>
      <c r="X30" s="819">
        <v>0</v>
      </c>
      <c r="Y30" s="819">
        <v>0</v>
      </c>
      <c r="Z30" s="819">
        <v>0</v>
      </c>
      <c r="AA30" s="819">
        <v>116415.82</v>
      </c>
      <c r="AB30" s="819">
        <v>0</v>
      </c>
      <c r="AC30" s="819">
        <v>0</v>
      </c>
      <c r="AD30" s="819">
        <v>0</v>
      </c>
      <c r="AE30" s="819">
        <v>0</v>
      </c>
      <c r="AF30" s="819">
        <v>0</v>
      </c>
      <c r="AG30" s="819">
        <v>0</v>
      </c>
      <c r="AH30" s="819">
        <v>0</v>
      </c>
      <c r="AI30" s="819">
        <v>0</v>
      </c>
      <c r="AJ30" s="819">
        <v>0</v>
      </c>
      <c r="AK30" s="819">
        <v>0</v>
      </c>
      <c r="AL30" s="819">
        <v>0</v>
      </c>
      <c r="AM30" s="819">
        <v>0</v>
      </c>
      <c r="AN30" s="819">
        <v>0</v>
      </c>
      <c r="AO30" s="819">
        <v>0</v>
      </c>
      <c r="AP30" s="819">
        <v>0</v>
      </c>
      <c r="AQ30" s="819">
        <v>0</v>
      </c>
      <c r="AR30" s="819">
        <v>0</v>
      </c>
      <c r="AS30" s="819">
        <v>0</v>
      </c>
      <c r="AT30" s="819">
        <v>0</v>
      </c>
      <c r="AU30" s="819">
        <f t="shared" si="0"/>
        <v>0</v>
      </c>
      <c r="AV30" s="819">
        <v>70554.3</v>
      </c>
      <c r="AW30" s="819">
        <v>116415.82</v>
      </c>
      <c r="AX30" s="820">
        <v>48</v>
      </c>
      <c r="AY30" s="820">
        <v>300</v>
      </c>
      <c r="AZ30" s="819">
        <v>491028.12</v>
      </c>
      <c r="BA30" s="819">
        <v>134550</v>
      </c>
      <c r="BB30" s="821">
        <v>90</v>
      </c>
      <c r="BC30" s="821">
        <v>79.816046822742507</v>
      </c>
      <c r="BD30" s="821">
        <v>9.91</v>
      </c>
      <c r="BE30" s="821"/>
      <c r="BF30" s="817" t="s">
        <v>815</v>
      </c>
      <c r="BG30" s="814"/>
      <c r="BH30" s="817" t="s">
        <v>540</v>
      </c>
      <c r="BI30" s="817" t="s">
        <v>843</v>
      </c>
      <c r="BJ30" s="817"/>
      <c r="BK30" s="817" t="s">
        <v>338</v>
      </c>
      <c r="BL30" s="815" t="s">
        <v>2</v>
      </c>
      <c r="BM30" s="821">
        <v>979460.56571656</v>
      </c>
      <c r="BN30" s="815" t="s">
        <v>740</v>
      </c>
      <c r="BO30" s="821"/>
      <c r="BP30" s="822">
        <v>37875</v>
      </c>
      <c r="BQ30" s="822">
        <v>46997</v>
      </c>
      <c r="BR30" s="821">
        <v>54366.91</v>
      </c>
      <c r="BS30" s="821">
        <v>158.76</v>
      </c>
      <c r="BT30" s="821">
        <v>28.16</v>
      </c>
    </row>
    <row r="31" spans="1:72" s="802" customFormat="1" ht="18.2" customHeight="1" x14ac:dyDescent="0.15">
      <c r="A31" s="805">
        <v>29</v>
      </c>
      <c r="B31" s="806" t="s">
        <v>413</v>
      </c>
      <c r="C31" s="806" t="s">
        <v>25</v>
      </c>
      <c r="D31" s="807">
        <v>45505</v>
      </c>
      <c r="E31" s="808" t="s">
        <v>557</v>
      </c>
      <c r="F31" s="809">
        <v>117</v>
      </c>
      <c r="G31" s="809">
        <v>116</v>
      </c>
      <c r="H31" s="810">
        <v>49575.46</v>
      </c>
      <c r="I31" s="810">
        <v>59901.47</v>
      </c>
      <c r="J31" s="810">
        <v>0</v>
      </c>
      <c r="K31" s="810">
        <v>109476.93</v>
      </c>
      <c r="L31" s="810">
        <v>804.77</v>
      </c>
      <c r="M31" s="810">
        <v>0</v>
      </c>
      <c r="N31" s="810">
        <v>0</v>
      </c>
      <c r="O31" s="810">
        <v>0</v>
      </c>
      <c r="P31" s="810">
        <v>0</v>
      </c>
      <c r="Q31" s="810">
        <v>0</v>
      </c>
      <c r="R31" s="810">
        <v>0</v>
      </c>
      <c r="S31" s="810">
        <v>109476.93</v>
      </c>
      <c r="T31" s="810">
        <v>80931.710000000006</v>
      </c>
      <c r="U31" s="810">
        <v>409.36</v>
      </c>
      <c r="V31" s="810">
        <v>0</v>
      </c>
      <c r="W31" s="810">
        <v>0</v>
      </c>
      <c r="X31" s="810">
        <v>0</v>
      </c>
      <c r="Y31" s="810">
        <v>0</v>
      </c>
      <c r="Z31" s="810">
        <v>0</v>
      </c>
      <c r="AA31" s="810">
        <v>81341.070000000007</v>
      </c>
      <c r="AB31" s="810">
        <v>0</v>
      </c>
      <c r="AC31" s="810">
        <v>0</v>
      </c>
      <c r="AD31" s="810">
        <v>0</v>
      </c>
      <c r="AE31" s="810">
        <v>0</v>
      </c>
      <c r="AF31" s="810">
        <v>0</v>
      </c>
      <c r="AG31" s="810">
        <v>0</v>
      </c>
      <c r="AH31" s="810">
        <v>0</v>
      </c>
      <c r="AI31" s="810">
        <v>0</v>
      </c>
      <c r="AJ31" s="810">
        <v>0</v>
      </c>
      <c r="AK31" s="810">
        <v>0</v>
      </c>
      <c r="AL31" s="810">
        <v>0</v>
      </c>
      <c r="AM31" s="810">
        <v>0</v>
      </c>
      <c r="AN31" s="810">
        <v>0</v>
      </c>
      <c r="AO31" s="810">
        <v>0</v>
      </c>
      <c r="AP31" s="810">
        <v>0</v>
      </c>
      <c r="AQ31" s="810">
        <v>0</v>
      </c>
      <c r="AR31" s="810">
        <v>0</v>
      </c>
      <c r="AS31" s="810">
        <v>0</v>
      </c>
      <c r="AT31" s="810">
        <v>0</v>
      </c>
      <c r="AU31" s="810">
        <f t="shared" si="0"/>
        <v>0</v>
      </c>
      <c r="AV31" s="810">
        <v>60706.239999999998</v>
      </c>
      <c r="AW31" s="810">
        <v>81341.070000000007</v>
      </c>
      <c r="AX31" s="811">
        <v>48</v>
      </c>
      <c r="AY31" s="811">
        <v>300</v>
      </c>
      <c r="AZ31" s="810">
        <v>491028.12</v>
      </c>
      <c r="BA31" s="810">
        <v>134550</v>
      </c>
      <c r="BB31" s="812">
        <v>90</v>
      </c>
      <c r="BC31" s="812">
        <v>73.228715719063601</v>
      </c>
      <c r="BD31" s="812">
        <v>9.91</v>
      </c>
      <c r="BE31" s="812"/>
      <c r="BF31" s="808" t="s">
        <v>815</v>
      </c>
      <c r="BG31" s="805"/>
      <c r="BH31" s="808" t="s">
        <v>540</v>
      </c>
      <c r="BI31" s="808" t="s">
        <v>843</v>
      </c>
      <c r="BJ31" s="808"/>
      <c r="BK31" s="808" t="s">
        <v>338</v>
      </c>
      <c r="BL31" s="806" t="s">
        <v>2</v>
      </c>
      <c r="BM31" s="812">
        <v>898624.30150392</v>
      </c>
      <c r="BN31" s="806" t="s">
        <v>740</v>
      </c>
      <c r="BO31" s="812"/>
      <c r="BP31" s="813">
        <v>37875</v>
      </c>
      <c r="BQ31" s="813">
        <v>46997</v>
      </c>
      <c r="BR31" s="812">
        <v>41009.49</v>
      </c>
      <c r="BS31" s="812">
        <v>158.76</v>
      </c>
      <c r="BT31" s="812">
        <v>28.16</v>
      </c>
    </row>
    <row r="32" spans="1:72" s="802" customFormat="1" ht="18.2" customHeight="1" x14ac:dyDescent="0.15">
      <c r="A32" s="814">
        <v>30</v>
      </c>
      <c r="B32" s="815" t="s">
        <v>413</v>
      </c>
      <c r="C32" s="815" t="s">
        <v>25</v>
      </c>
      <c r="D32" s="816">
        <v>45505</v>
      </c>
      <c r="E32" s="817" t="s">
        <v>558</v>
      </c>
      <c r="F32" s="818">
        <v>82</v>
      </c>
      <c r="G32" s="818">
        <v>81</v>
      </c>
      <c r="H32" s="819">
        <v>57777.49</v>
      </c>
      <c r="I32" s="819">
        <v>54557.09</v>
      </c>
      <c r="J32" s="819">
        <v>0</v>
      </c>
      <c r="K32" s="819">
        <v>112334.58</v>
      </c>
      <c r="L32" s="819">
        <v>933.8</v>
      </c>
      <c r="M32" s="819">
        <v>0</v>
      </c>
      <c r="N32" s="819">
        <v>0</v>
      </c>
      <c r="O32" s="819">
        <v>0</v>
      </c>
      <c r="P32" s="819">
        <v>0</v>
      </c>
      <c r="Q32" s="819">
        <v>0</v>
      </c>
      <c r="R32" s="819">
        <v>0</v>
      </c>
      <c r="S32" s="819">
        <v>112334.58</v>
      </c>
      <c r="T32" s="819">
        <v>59461.03</v>
      </c>
      <c r="U32" s="819">
        <v>486.72</v>
      </c>
      <c r="V32" s="819">
        <v>0</v>
      </c>
      <c r="W32" s="819">
        <v>0</v>
      </c>
      <c r="X32" s="819">
        <v>0</v>
      </c>
      <c r="Y32" s="819">
        <v>0</v>
      </c>
      <c r="Z32" s="819">
        <v>0</v>
      </c>
      <c r="AA32" s="819">
        <v>59947.75</v>
      </c>
      <c r="AB32" s="819">
        <v>0</v>
      </c>
      <c r="AC32" s="819">
        <v>0</v>
      </c>
      <c r="AD32" s="819">
        <v>0</v>
      </c>
      <c r="AE32" s="819">
        <v>0</v>
      </c>
      <c r="AF32" s="819">
        <v>0</v>
      </c>
      <c r="AG32" s="819">
        <v>0</v>
      </c>
      <c r="AH32" s="819">
        <v>0</v>
      </c>
      <c r="AI32" s="819">
        <v>0</v>
      </c>
      <c r="AJ32" s="819">
        <v>0</v>
      </c>
      <c r="AK32" s="819">
        <v>0</v>
      </c>
      <c r="AL32" s="819">
        <v>0</v>
      </c>
      <c r="AM32" s="819">
        <v>0</v>
      </c>
      <c r="AN32" s="819">
        <v>0</v>
      </c>
      <c r="AO32" s="819">
        <v>0</v>
      </c>
      <c r="AP32" s="819">
        <v>0</v>
      </c>
      <c r="AQ32" s="819">
        <v>0</v>
      </c>
      <c r="AR32" s="819">
        <v>0</v>
      </c>
      <c r="AS32" s="819">
        <v>0</v>
      </c>
      <c r="AT32" s="819">
        <v>0</v>
      </c>
      <c r="AU32" s="819">
        <f t="shared" si="0"/>
        <v>0</v>
      </c>
      <c r="AV32" s="819">
        <v>55490.89</v>
      </c>
      <c r="AW32" s="819">
        <v>59947.75</v>
      </c>
      <c r="AX32" s="820">
        <v>48</v>
      </c>
      <c r="AY32" s="820">
        <v>300</v>
      </c>
      <c r="AZ32" s="819">
        <v>595140.67000000004</v>
      </c>
      <c r="BA32" s="819">
        <v>155000</v>
      </c>
      <c r="BB32" s="821">
        <v>85.64</v>
      </c>
      <c r="BC32" s="821">
        <v>62.066667298064502</v>
      </c>
      <c r="BD32" s="821">
        <v>10.11</v>
      </c>
      <c r="BE32" s="821"/>
      <c r="BF32" s="817" t="s">
        <v>815</v>
      </c>
      <c r="BG32" s="814"/>
      <c r="BH32" s="817" t="s">
        <v>540</v>
      </c>
      <c r="BI32" s="817" t="s">
        <v>843</v>
      </c>
      <c r="BJ32" s="817"/>
      <c r="BK32" s="817" t="s">
        <v>338</v>
      </c>
      <c r="BL32" s="815" t="s">
        <v>2</v>
      </c>
      <c r="BM32" s="821">
        <v>922080.87573552004</v>
      </c>
      <c r="BN32" s="815" t="s">
        <v>740</v>
      </c>
      <c r="BO32" s="821"/>
      <c r="BP32" s="822">
        <v>37883</v>
      </c>
      <c r="BQ32" s="822">
        <v>46997</v>
      </c>
      <c r="BR32" s="821">
        <v>22679.61</v>
      </c>
      <c r="BS32" s="821">
        <v>69.510000000000005</v>
      </c>
      <c r="BT32" s="821">
        <v>28.13</v>
      </c>
    </row>
    <row r="33" spans="1:72" s="802" customFormat="1" ht="18.2" customHeight="1" x14ac:dyDescent="0.15">
      <c r="A33" s="805">
        <v>31</v>
      </c>
      <c r="B33" s="806" t="s">
        <v>413</v>
      </c>
      <c r="C33" s="806" t="s">
        <v>25</v>
      </c>
      <c r="D33" s="807">
        <v>45505</v>
      </c>
      <c r="E33" s="808" t="s">
        <v>559</v>
      </c>
      <c r="F33" s="809">
        <v>220</v>
      </c>
      <c r="G33" s="809">
        <v>219</v>
      </c>
      <c r="H33" s="810">
        <v>30524.16</v>
      </c>
      <c r="I33" s="810">
        <v>49236.21</v>
      </c>
      <c r="J33" s="810">
        <v>0</v>
      </c>
      <c r="K33" s="810">
        <v>79760.37</v>
      </c>
      <c r="L33" s="810">
        <v>493.46</v>
      </c>
      <c r="M33" s="810">
        <v>0</v>
      </c>
      <c r="N33" s="810">
        <v>0</v>
      </c>
      <c r="O33" s="810">
        <v>0</v>
      </c>
      <c r="P33" s="810">
        <v>0</v>
      </c>
      <c r="Q33" s="810">
        <v>0</v>
      </c>
      <c r="R33" s="810">
        <v>0</v>
      </c>
      <c r="S33" s="810">
        <v>79760.37</v>
      </c>
      <c r="T33" s="810">
        <v>115139.26</v>
      </c>
      <c r="U33" s="810">
        <v>257.13</v>
      </c>
      <c r="V33" s="810">
        <v>0</v>
      </c>
      <c r="W33" s="810">
        <v>0</v>
      </c>
      <c r="X33" s="810">
        <v>0</v>
      </c>
      <c r="Y33" s="810">
        <v>0</v>
      </c>
      <c r="Z33" s="810">
        <v>0</v>
      </c>
      <c r="AA33" s="810">
        <v>115396.39</v>
      </c>
      <c r="AB33" s="810">
        <v>0</v>
      </c>
      <c r="AC33" s="810">
        <v>0</v>
      </c>
      <c r="AD33" s="810">
        <v>0</v>
      </c>
      <c r="AE33" s="810">
        <v>0</v>
      </c>
      <c r="AF33" s="810">
        <v>0</v>
      </c>
      <c r="AG33" s="810">
        <v>0</v>
      </c>
      <c r="AH33" s="810">
        <v>0</v>
      </c>
      <c r="AI33" s="810">
        <v>0</v>
      </c>
      <c r="AJ33" s="810">
        <v>0</v>
      </c>
      <c r="AK33" s="810">
        <v>0</v>
      </c>
      <c r="AL33" s="810">
        <v>0</v>
      </c>
      <c r="AM33" s="810">
        <v>0</v>
      </c>
      <c r="AN33" s="810">
        <v>0</v>
      </c>
      <c r="AO33" s="810">
        <v>0</v>
      </c>
      <c r="AP33" s="810">
        <v>0</v>
      </c>
      <c r="AQ33" s="810">
        <v>0</v>
      </c>
      <c r="AR33" s="810">
        <v>0</v>
      </c>
      <c r="AS33" s="810">
        <v>0</v>
      </c>
      <c r="AT33" s="810">
        <v>0</v>
      </c>
      <c r="AU33" s="810">
        <f t="shared" si="0"/>
        <v>0</v>
      </c>
      <c r="AV33" s="810">
        <v>49729.67</v>
      </c>
      <c r="AW33" s="810">
        <v>115396.39</v>
      </c>
      <c r="AX33" s="811">
        <v>49</v>
      </c>
      <c r="AY33" s="811">
        <v>300</v>
      </c>
      <c r="AZ33" s="810">
        <v>299554.71000000002</v>
      </c>
      <c r="BA33" s="810">
        <v>81900</v>
      </c>
      <c r="BB33" s="812">
        <v>90</v>
      </c>
      <c r="BC33" s="812">
        <v>87.648758241758202</v>
      </c>
      <c r="BD33" s="812">
        <v>10.11</v>
      </c>
      <c r="BE33" s="812"/>
      <c r="BF33" s="808" t="s">
        <v>815</v>
      </c>
      <c r="BG33" s="805"/>
      <c r="BH33" s="808" t="s">
        <v>540</v>
      </c>
      <c r="BI33" s="808" t="s">
        <v>849</v>
      </c>
      <c r="BJ33" s="808"/>
      <c r="BK33" s="808" t="s">
        <v>338</v>
      </c>
      <c r="BL33" s="806" t="s">
        <v>2</v>
      </c>
      <c r="BM33" s="812">
        <v>654700.55452728004</v>
      </c>
      <c r="BN33" s="806" t="s">
        <v>740</v>
      </c>
      <c r="BO33" s="812"/>
      <c r="BP33" s="813">
        <v>37890</v>
      </c>
      <c r="BQ33" s="813">
        <v>46997</v>
      </c>
      <c r="BR33" s="812">
        <v>44790.239999999998</v>
      </c>
      <c r="BS33" s="812">
        <v>65</v>
      </c>
      <c r="BT33" s="812">
        <v>28.08</v>
      </c>
    </row>
    <row r="34" spans="1:72" s="802" customFormat="1" ht="18.2" customHeight="1" x14ac:dyDescent="0.15">
      <c r="A34" s="814">
        <v>32</v>
      </c>
      <c r="B34" s="815" t="s">
        <v>413</v>
      </c>
      <c r="C34" s="815" t="s">
        <v>25</v>
      </c>
      <c r="D34" s="816">
        <v>45505</v>
      </c>
      <c r="E34" s="817" t="s">
        <v>542</v>
      </c>
      <c r="F34" s="818">
        <v>158</v>
      </c>
      <c r="G34" s="818">
        <v>157</v>
      </c>
      <c r="H34" s="819">
        <v>30524.16</v>
      </c>
      <c r="I34" s="819">
        <v>42872.61</v>
      </c>
      <c r="J34" s="819">
        <v>0</v>
      </c>
      <c r="K34" s="819">
        <v>73396.77</v>
      </c>
      <c r="L34" s="819">
        <v>493.46</v>
      </c>
      <c r="M34" s="819">
        <v>0</v>
      </c>
      <c r="N34" s="819">
        <v>0</v>
      </c>
      <c r="O34" s="819">
        <v>0</v>
      </c>
      <c r="P34" s="819">
        <v>0</v>
      </c>
      <c r="Q34" s="819">
        <v>0</v>
      </c>
      <c r="R34" s="819">
        <v>0</v>
      </c>
      <c r="S34" s="819">
        <v>73396.77</v>
      </c>
      <c r="T34" s="819">
        <v>74504.13</v>
      </c>
      <c r="U34" s="819">
        <v>257.13</v>
      </c>
      <c r="V34" s="819">
        <v>0</v>
      </c>
      <c r="W34" s="819">
        <v>0</v>
      </c>
      <c r="X34" s="819">
        <v>0</v>
      </c>
      <c r="Y34" s="819">
        <v>0</v>
      </c>
      <c r="Z34" s="819">
        <v>0</v>
      </c>
      <c r="AA34" s="819">
        <v>74761.259999999995</v>
      </c>
      <c r="AB34" s="819">
        <v>0</v>
      </c>
      <c r="AC34" s="819">
        <v>0</v>
      </c>
      <c r="AD34" s="819">
        <v>0</v>
      </c>
      <c r="AE34" s="819">
        <v>0</v>
      </c>
      <c r="AF34" s="819">
        <v>0</v>
      </c>
      <c r="AG34" s="819">
        <v>0</v>
      </c>
      <c r="AH34" s="819">
        <v>0</v>
      </c>
      <c r="AI34" s="819">
        <v>0</v>
      </c>
      <c r="AJ34" s="819">
        <v>0</v>
      </c>
      <c r="AK34" s="819">
        <v>0</v>
      </c>
      <c r="AL34" s="819">
        <v>0</v>
      </c>
      <c r="AM34" s="819">
        <v>0</v>
      </c>
      <c r="AN34" s="819">
        <v>0</v>
      </c>
      <c r="AO34" s="819">
        <v>0</v>
      </c>
      <c r="AP34" s="819">
        <v>0</v>
      </c>
      <c r="AQ34" s="819">
        <v>0</v>
      </c>
      <c r="AR34" s="819">
        <v>0</v>
      </c>
      <c r="AS34" s="819">
        <v>0</v>
      </c>
      <c r="AT34" s="819">
        <v>0</v>
      </c>
      <c r="AU34" s="819">
        <f t="shared" si="0"/>
        <v>0</v>
      </c>
      <c r="AV34" s="819">
        <v>43366.07</v>
      </c>
      <c r="AW34" s="819">
        <v>74761.259999999995</v>
      </c>
      <c r="AX34" s="820">
        <v>48</v>
      </c>
      <c r="AY34" s="820">
        <v>300</v>
      </c>
      <c r="AZ34" s="819">
        <v>299554.71000000002</v>
      </c>
      <c r="BA34" s="819">
        <v>81900</v>
      </c>
      <c r="BB34" s="821">
        <v>90</v>
      </c>
      <c r="BC34" s="821">
        <v>80.6557912087912</v>
      </c>
      <c r="BD34" s="821">
        <v>10.11</v>
      </c>
      <c r="BE34" s="821"/>
      <c r="BF34" s="817" t="s">
        <v>815</v>
      </c>
      <c r="BG34" s="814"/>
      <c r="BH34" s="817" t="s">
        <v>540</v>
      </c>
      <c r="BI34" s="817" t="s">
        <v>849</v>
      </c>
      <c r="BJ34" s="817"/>
      <c r="BK34" s="817" t="s">
        <v>338</v>
      </c>
      <c r="BL34" s="815" t="s">
        <v>2</v>
      </c>
      <c r="BM34" s="821">
        <v>602465.93664888002</v>
      </c>
      <c r="BN34" s="815" t="s">
        <v>740</v>
      </c>
      <c r="BO34" s="821"/>
      <c r="BP34" s="822">
        <v>37890</v>
      </c>
      <c r="BQ34" s="822">
        <v>46997</v>
      </c>
      <c r="BR34" s="821">
        <v>31232.19</v>
      </c>
      <c r="BS34" s="821">
        <v>65</v>
      </c>
      <c r="BT34" s="821">
        <v>28.08</v>
      </c>
    </row>
    <row r="35" spans="1:72" s="802" customFormat="1" ht="18.2" customHeight="1" x14ac:dyDescent="0.15">
      <c r="A35" s="805">
        <v>33</v>
      </c>
      <c r="B35" s="806" t="s">
        <v>413</v>
      </c>
      <c r="C35" s="806" t="s">
        <v>25</v>
      </c>
      <c r="D35" s="807">
        <v>45505</v>
      </c>
      <c r="E35" s="808" t="s">
        <v>560</v>
      </c>
      <c r="F35" s="809">
        <v>175</v>
      </c>
      <c r="G35" s="809">
        <v>175</v>
      </c>
      <c r="H35" s="810">
        <v>6.33</v>
      </c>
      <c r="I35" s="810">
        <v>72614.48</v>
      </c>
      <c r="J35" s="810">
        <v>0</v>
      </c>
      <c r="K35" s="810">
        <v>72620.81</v>
      </c>
      <c r="L35" s="810">
        <v>0</v>
      </c>
      <c r="M35" s="810">
        <v>0</v>
      </c>
      <c r="N35" s="810">
        <v>0</v>
      </c>
      <c r="O35" s="810">
        <v>0</v>
      </c>
      <c r="P35" s="810">
        <v>0</v>
      </c>
      <c r="Q35" s="810">
        <v>0</v>
      </c>
      <c r="R35" s="810">
        <v>0</v>
      </c>
      <c r="S35" s="810">
        <v>72620.81</v>
      </c>
      <c r="T35" s="810">
        <v>65077.85</v>
      </c>
      <c r="U35" s="810">
        <v>0</v>
      </c>
      <c r="V35" s="810">
        <v>0</v>
      </c>
      <c r="W35" s="810">
        <v>0</v>
      </c>
      <c r="X35" s="810">
        <v>0</v>
      </c>
      <c r="Y35" s="810">
        <v>0</v>
      </c>
      <c r="Z35" s="810">
        <v>0</v>
      </c>
      <c r="AA35" s="810">
        <v>65077.85</v>
      </c>
      <c r="AB35" s="810">
        <v>0</v>
      </c>
      <c r="AC35" s="810">
        <v>0</v>
      </c>
      <c r="AD35" s="810">
        <v>0</v>
      </c>
      <c r="AE35" s="810">
        <v>0</v>
      </c>
      <c r="AF35" s="810">
        <v>0</v>
      </c>
      <c r="AG35" s="810">
        <v>0</v>
      </c>
      <c r="AH35" s="810">
        <v>0</v>
      </c>
      <c r="AI35" s="810">
        <v>0</v>
      </c>
      <c r="AJ35" s="810">
        <v>0</v>
      </c>
      <c r="AK35" s="810">
        <v>0</v>
      </c>
      <c r="AL35" s="810">
        <v>0</v>
      </c>
      <c r="AM35" s="810">
        <v>0</v>
      </c>
      <c r="AN35" s="810">
        <v>0</v>
      </c>
      <c r="AO35" s="810">
        <v>0</v>
      </c>
      <c r="AP35" s="810">
        <v>0</v>
      </c>
      <c r="AQ35" s="810">
        <v>0</v>
      </c>
      <c r="AR35" s="810">
        <v>0</v>
      </c>
      <c r="AS35" s="810">
        <v>0</v>
      </c>
      <c r="AT35" s="810">
        <v>0</v>
      </c>
      <c r="AU35" s="810">
        <f t="shared" si="0"/>
        <v>0</v>
      </c>
      <c r="AV35" s="810">
        <v>72614.48</v>
      </c>
      <c r="AW35" s="810">
        <v>65077.85</v>
      </c>
      <c r="AX35" s="811">
        <v>0</v>
      </c>
      <c r="AY35" s="811">
        <v>240</v>
      </c>
      <c r="AZ35" s="810">
        <v>299554.71000000002</v>
      </c>
      <c r="BA35" s="810">
        <v>81900</v>
      </c>
      <c r="BB35" s="812">
        <v>90</v>
      </c>
      <c r="BC35" s="812">
        <v>79.803087912087904</v>
      </c>
      <c r="BD35" s="812">
        <v>9.98</v>
      </c>
      <c r="BE35" s="812"/>
      <c r="BF35" s="808" t="s">
        <v>815</v>
      </c>
      <c r="BG35" s="805"/>
      <c r="BH35" s="808" t="s">
        <v>540</v>
      </c>
      <c r="BI35" s="808" t="s">
        <v>849</v>
      </c>
      <c r="BJ35" s="808"/>
      <c r="BK35" s="808" t="s">
        <v>338</v>
      </c>
      <c r="BL35" s="806" t="s">
        <v>2</v>
      </c>
      <c r="BM35" s="812">
        <v>596096.59003863996</v>
      </c>
      <c r="BN35" s="806" t="s">
        <v>740</v>
      </c>
      <c r="BO35" s="812"/>
      <c r="BP35" s="813">
        <v>37890</v>
      </c>
      <c r="BQ35" s="813">
        <v>45170</v>
      </c>
      <c r="BR35" s="812">
        <v>41386.53</v>
      </c>
      <c r="BS35" s="812">
        <v>0</v>
      </c>
      <c r="BT35" s="812">
        <v>29.37</v>
      </c>
    </row>
    <row r="36" spans="1:72" s="802" customFormat="1" ht="18.2" customHeight="1" x14ac:dyDescent="0.15">
      <c r="A36" s="814">
        <v>34</v>
      </c>
      <c r="B36" s="815" t="s">
        <v>413</v>
      </c>
      <c r="C36" s="815" t="s">
        <v>25</v>
      </c>
      <c r="D36" s="816">
        <v>45505</v>
      </c>
      <c r="E36" s="817" t="s">
        <v>561</v>
      </c>
      <c r="F36" s="818">
        <v>186</v>
      </c>
      <c r="G36" s="818">
        <v>185</v>
      </c>
      <c r="H36" s="819">
        <v>29445.29</v>
      </c>
      <c r="I36" s="819">
        <v>44521.41</v>
      </c>
      <c r="J36" s="819">
        <v>0</v>
      </c>
      <c r="K36" s="819">
        <v>73966.7</v>
      </c>
      <c r="L36" s="819">
        <v>475.96</v>
      </c>
      <c r="M36" s="819">
        <v>0</v>
      </c>
      <c r="N36" s="819">
        <v>0</v>
      </c>
      <c r="O36" s="819">
        <v>0</v>
      </c>
      <c r="P36" s="819">
        <v>0</v>
      </c>
      <c r="Q36" s="819">
        <v>0</v>
      </c>
      <c r="R36" s="819">
        <v>0</v>
      </c>
      <c r="S36" s="819">
        <v>73966.7</v>
      </c>
      <c r="T36" s="819">
        <v>89416.89</v>
      </c>
      <c r="U36" s="819">
        <v>248.05</v>
      </c>
      <c r="V36" s="819">
        <v>0</v>
      </c>
      <c r="W36" s="819">
        <v>0</v>
      </c>
      <c r="X36" s="819">
        <v>0</v>
      </c>
      <c r="Y36" s="819">
        <v>0</v>
      </c>
      <c r="Z36" s="819">
        <v>0</v>
      </c>
      <c r="AA36" s="819">
        <v>89664.94</v>
      </c>
      <c r="AB36" s="819">
        <v>0</v>
      </c>
      <c r="AC36" s="819">
        <v>0</v>
      </c>
      <c r="AD36" s="819">
        <v>0</v>
      </c>
      <c r="AE36" s="819">
        <v>0</v>
      </c>
      <c r="AF36" s="819">
        <v>0</v>
      </c>
      <c r="AG36" s="819">
        <v>0</v>
      </c>
      <c r="AH36" s="819">
        <v>0</v>
      </c>
      <c r="AI36" s="819">
        <v>0</v>
      </c>
      <c r="AJ36" s="819">
        <v>0</v>
      </c>
      <c r="AK36" s="819">
        <v>0</v>
      </c>
      <c r="AL36" s="819">
        <v>0</v>
      </c>
      <c r="AM36" s="819">
        <v>0</v>
      </c>
      <c r="AN36" s="819">
        <v>0</v>
      </c>
      <c r="AO36" s="819">
        <v>0</v>
      </c>
      <c r="AP36" s="819">
        <v>0</v>
      </c>
      <c r="AQ36" s="819">
        <v>0</v>
      </c>
      <c r="AR36" s="819">
        <v>0</v>
      </c>
      <c r="AS36" s="819">
        <v>0</v>
      </c>
      <c r="AT36" s="819">
        <v>0</v>
      </c>
      <c r="AU36" s="819">
        <f t="shared" si="0"/>
        <v>0</v>
      </c>
      <c r="AV36" s="819">
        <v>44997.37</v>
      </c>
      <c r="AW36" s="819">
        <v>89664.94</v>
      </c>
      <c r="AX36" s="820">
        <v>49</v>
      </c>
      <c r="AY36" s="820">
        <v>300</v>
      </c>
      <c r="AZ36" s="819">
        <v>299554.71000000002</v>
      </c>
      <c r="BA36" s="819">
        <v>79000</v>
      </c>
      <c r="BB36" s="821">
        <v>86.81</v>
      </c>
      <c r="BC36" s="821">
        <v>81.279104139240502</v>
      </c>
      <c r="BD36" s="821">
        <v>10.11</v>
      </c>
      <c r="BE36" s="821"/>
      <c r="BF36" s="817" t="s">
        <v>815</v>
      </c>
      <c r="BG36" s="814"/>
      <c r="BH36" s="817" t="s">
        <v>540</v>
      </c>
      <c r="BI36" s="817" t="s">
        <v>849</v>
      </c>
      <c r="BJ36" s="817"/>
      <c r="BK36" s="817" t="s">
        <v>338</v>
      </c>
      <c r="BL36" s="815" t="s">
        <v>2</v>
      </c>
      <c r="BM36" s="821">
        <v>607144.11814479996</v>
      </c>
      <c r="BN36" s="815" t="s">
        <v>740</v>
      </c>
      <c r="BO36" s="821"/>
      <c r="BP36" s="822">
        <v>37890</v>
      </c>
      <c r="BQ36" s="822">
        <v>46997</v>
      </c>
      <c r="BR36" s="821">
        <v>36717.49</v>
      </c>
      <c r="BS36" s="821">
        <v>65</v>
      </c>
      <c r="BT36" s="821">
        <v>28.07</v>
      </c>
    </row>
    <row r="37" spans="1:72" s="802" customFormat="1" ht="18.2" customHeight="1" x14ac:dyDescent="0.15">
      <c r="A37" s="805">
        <v>35</v>
      </c>
      <c r="B37" s="806" t="s">
        <v>413</v>
      </c>
      <c r="C37" s="806" t="s">
        <v>25</v>
      </c>
      <c r="D37" s="807">
        <v>45505</v>
      </c>
      <c r="E37" s="808" t="s">
        <v>562</v>
      </c>
      <c r="F37" s="809">
        <v>121</v>
      </c>
      <c r="G37" s="809">
        <v>120</v>
      </c>
      <c r="H37" s="810">
        <v>47339.67</v>
      </c>
      <c r="I37" s="810">
        <v>57367.98</v>
      </c>
      <c r="J37" s="810">
        <v>0</v>
      </c>
      <c r="K37" s="810">
        <v>104707.65</v>
      </c>
      <c r="L37" s="810">
        <v>765.12</v>
      </c>
      <c r="M37" s="810">
        <v>0</v>
      </c>
      <c r="N37" s="810">
        <v>0</v>
      </c>
      <c r="O37" s="810">
        <v>0</v>
      </c>
      <c r="P37" s="810">
        <v>0</v>
      </c>
      <c r="Q37" s="810">
        <v>0</v>
      </c>
      <c r="R37" s="810">
        <v>0</v>
      </c>
      <c r="S37" s="810">
        <v>104707.65</v>
      </c>
      <c r="T37" s="810">
        <v>81158.91</v>
      </c>
      <c r="U37" s="810">
        <v>398.79</v>
      </c>
      <c r="V37" s="810">
        <v>0</v>
      </c>
      <c r="W37" s="810">
        <v>0</v>
      </c>
      <c r="X37" s="810">
        <v>0</v>
      </c>
      <c r="Y37" s="810">
        <v>0</v>
      </c>
      <c r="Z37" s="810">
        <v>0</v>
      </c>
      <c r="AA37" s="810">
        <v>81557.7</v>
      </c>
      <c r="AB37" s="810">
        <v>0</v>
      </c>
      <c r="AC37" s="810">
        <v>0</v>
      </c>
      <c r="AD37" s="810">
        <v>0</v>
      </c>
      <c r="AE37" s="810">
        <v>0</v>
      </c>
      <c r="AF37" s="810">
        <v>0</v>
      </c>
      <c r="AG37" s="810">
        <v>0</v>
      </c>
      <c r="AH37" s="810">
        <v>0</v>
      </c>
      <c r="AI37" s="810">
        <v>0</v>
      </c>
      <c r="AJ37" s="810">
        <v>0</v>
      </c>
      <c r="AK37" s="810">
        <v>0</v>
      </c>
      <c r="AL37" s="810">
        <v>0</v>
      </c>
      <c r="AM37" s="810">
        <v>0</v>
      </c>
      <c r="AN37" s="810">
        <v>0</v>
      </c>
      <c r="AO37" s="810">
        <v>0</v>
      </c>
      <c r="AP37" s="810">
        <v>0</v>
      </c>
      <c r="AQ37" s="810">
        <v>0</v>
      </c>
      <c r="AR37" s="810">
        <v>0</v>
      </c>
      <c r="AS37" s="810">
        <v>0</v>
      </c>
      <c r="AT37" s="810">
        <v>0</v>
      </c>
      <c r="AU37" s="810">
        <f t="shared" si="0"/>
        <v>0</v>
      </c>
      <c r="AV37" s="810">
        <v>58133.1</v>
      </c>
      <c r="AW37" s="810">
        <v>81557.7</v>
      </c>
      <c r="AX37" s="811">
        <v>48</v>
      </c>
      <c r="AY37" s="811">
        <v>300</v>
      </c>
      <c r="AZ37" s="810">
        <v>488958.87</v>
      </c>
      <c r="BA37" s="810">
        <v>127000</v>
      </c>
      <c r="BB37" s="812">
        <v>85.5</v>
      </c>
      <c r="BC37" s="812">
        <v>70.492158070866097</v>
      </c>
      <c r="BD37" s="812">
        <v>10.11</v>
      </c>
      <c r="BE37" s="812"/>
      <c r="BF37" s="808" t="s">
        <v>815</v>
      </c>
      <c r="BG37" s="805"/>
      <c r="BH37" s="808" t="s">
        <v>540</v>
      </c>
      <c r="BI37" s="808" t="s">
        <v>849</v>
      </c>
      <c r="BJ37" s="808"/>
      <c r="BK37" s="808" t="s">
        <v>338</v>
      </c>
      <c r="BL37" s="806" t="s">
        <v>2</v>
      </c>
      <c r="BM37" s="812">
        <v>859476.41063159995</v>
      </c>
      <c r="BN37" s="806" t="s">
        <v>740</v>
      </c>
      <c r="BO37" s="812"/>
      <c r="BP37" s="813">
        <v>37890</v>
      </c>
      <c r="BQ37" s="813">
        <v>46997</v>
      </c>
      <c r="BR37" s="812">
        <v>29609.58</v>
      </c>
      <c r="BS37" s="812">
        <v>65</v>
      </c>
      <c r="BT37" s="812">
        <v>28.09</v>
      </c>
    </row>
    <row r="38" spans="1:72" s="802" customFormat="1" ht="18.2" customHeight="1" x14ac:dyDescent="0.15">
      <c r="A38" s="814">
        <v>36</v>
      </c>
      <c r="B38" s="815" t="s">
        <v>413</v>
      </c>
      <c r="C38" s="815" t="s">
        <v>25</v>
      </c>
      <c r="D38" s="816">
        <v>45505</v>
      </c>
      <c r="E38" s="817" t="s">
        <v>563</v>
      </c>
      <c r="F38" s="818">
        <v>184</v>
      </c>
      <c r="G38" s="818">
        <v>183</v>
      </c>
      <c r="H38" s="819">
        <v>49829.68</v>
      </c>
      <c r="I38" s="819">
        <v>74992.72</v>
      </c>
      <c r="J38" s="819">
        <v>0</v>
      </c>
      <c r="K38" s="819">
        <v>124822.39999999999</v>
      </c>
      <c r="L38" s="819">
        <v>805.39</v>
      </c>
      <c r="M38" s="819">
        <v>0</v>
      </c>
      <c r="N38" s="819">
        <v>0</v>
      </c>
      <c r="O38" s="819">
        <v>0</v>
      </c>
      <c r="P38" s="819">
        <v>0</v>
      </c>
      <c r="Q38" s="819">
        <v>0</v>
      </c>
      <c r="R38" s="819">
        <v>0</v>
      </c>
      <c r="S38" s="819">
        <v>124822.39999999999</v>
      </c>
      <c r="T38" s="819">
        <v>149203.69</v>
      </c>
      <c r="U38" s="819">
        <v>419.76</v>
      </c>
      <c r="V38" s="819">
        <v>0</v>
      </c>
      <c r="W38" s="819">
        <v>0</v>
      </c>
      <c r="X38" s="819">
        <v>0</v>
      </c>
      <c r="Y38" s="819">
        <v>0</v>
      </c>
      <c r="Z38" s="819">
        <v>0</v>
      </c>
      <c r="AA38" s="819">
        <v>149623.45000000001</v>
      </c>
      <c r="AB38" s="819">
        <v>0</v>
      </c>
      <c r="AC38" s="819">
        <v>0</v>
      </c>
      <c r="AD38" s="819">
        <v>0</v>
      </c>
      <c r="AE38" s="819">
        <v>0</v>
      </c>
      <c r="AF38" s="819">
        <v>0</v>
      </c>
      <c r="AG38" s="819">
        <v>0</v>
      </c>
      <c r="AH38" s="819">
        <v>0</v>
      </c>
      <c r="AI38" s="819">
        <v>0</v>
      </c>
      <c r="AJ38" s="819">
        <v>0</v>
      </c>
      <c r="AK38" s="819">
        <v>0</v>
      </c>
      <c r="AL38" s="819">
        <v>0</v>
      </c>
      <c r="AM38" s="819">
        <v>0</v>
      </c>
      <c r="AN38" s="819">
        <v>0</v>
      </c>
      <c r="AO38" s="819">
        <v>0</v>
      </c>
      <c r="AP38" s="819">
        <v>0</v>
      </c>
      <c r="AQ38" s="819">
        <v>0</v>
      </c>
      <c r="AR38" s="819">
        <v>0</v>
      </c>
      <c r="AS38" s="819">
        <v>0</v>
      </c>
      <c r="AT38" s="819">
        <v>0</v>
      </c>
      <c r="AU38" s="819">
        <f t="shared" si="0"/>
        <v>0</v>
      </c>
      <c r="AV38" s="819">
        <v>75798.11</v>
      </c>
      <c r="AW38" s="819">
        <v>149623.45000000001</v>
      </c>
      <c r="AX38" s="820">
        <v>49</v>
      </c>
      <c r="AY38" s="820">
        <v>300</v>
      </c>
      <c r="AZ38" s="819">
        <v>488958.87</v>
      </c>
      <c r="BA38" s="819">
        <v>133682</v>
      </c>
      <c r="BB38" s="821">
        <v>90</v>
      </c>
      <c r="BC38" s="821">
        <v>84.035367513951002</v>
      </c>
      <c r="BD38" s="821">
        <v>10.11</v>
      </c>
      <c r="BE38" s="821"/>
      <c r="BF38" s="817" t="s">
        <v>815</v>
      </c>
      <c r="BG38" s="814"/>
      <c r="BH38" s="817" t="s">
        <v>540</v>
      </c>
      <c r="BI38" s="817" t="s">
        <v>849</v>
      </c>
      <c r="BJ38" s="817"/>
      <c r="BK38" s="817" t="s">
        <v>338</v>
      </c>
      <c r="BL38" s="815" t="s">
        <v>2</v>
      </c>
      <c r="BM38" s="821">
        <v>1024585.1981056</v>
      </c>
      <c r="BN38" s="815" t="s">
        <v>740</v>
      </c>
      <c r="BO38" s="821"/>
      <c r="BP38" s="822">
        <v>37890</v>
      </c>
      <c r="BQ38" s="822">
        <v>46997</v>
      </c>
      <c r="BR38" s="821">
        <v>47619.59</v>
      </c>
      <c r="BS38" s="821">
        <v>65</v>
      </c>
      <c r="BT38" s="821">
        <v>28.1</v>
      </c>
    </row>
    <row r="39" spans="1:72" s="802" customFormat="1" ht="18.2" customHeight="1" x14ac:dyDescent="0.15">
      <c r="A39" s="805">
        <v>37</v>
      </c>
      <c r="B39" s="806" t="s">
        <v>413</v>
      </c>
      <c r="C39" s="806" t="s">
        <v>25</v>
      </c>
      <c r="D39" s="807">
        <v>45505</v>
      </c>
      <c r="E39" s="808" t="s">
        <v>564</v>
      </c>
      <c r="F39" s="809">
        <v>194</v>
      </c>
      <c r="G39" s="809">
        <v>193</v>
      </c>
      <c r="H39" s="810">
        <v>48440.91</v>
      </c>
      <c r="I39" s="810">
        <v>74517.789999999994</v>
      </c>
      <c r="J39" s="810">
        <v>0</v>
      </c>
      <c r="K39" s="810">
        <v>122958.7</v>
      </c>
      <c r="L39" s="810">
        <v>782.98</v>
      </c>
      <c r="M39" s="810">
        <v>0</v>
      </c>
      <c r="N39" s="810">
        <v>0</v>
      </c>
      <c r="O39" s="810">
        <v>0</v>
      </c>
      <c r="P39" s="810">
        <v>0</v>
      </c>
      <c r="Q39" s="810">
        <v>0</v>
      </c>
      <c r="R39" s="810">
        <v>0</v>
      </c>
      <c r="S39" s="810">
        <v>122958.7</v>
      </c>
      <c r="T39" s="810">
        <v>154670.24</v>
      </c>
      <c r="U39" s="810">
        <v>408.07</v>
      </c>
      <c r="V39" s="810">
        <v>0</v>
      </c>
      <c r="W39" s="810">
        <v>0</v>
      </c>
      <c r="X39" s="810">
        <v>0</v>
      </c>
      <c r="Y39" s="810">
        <v>0</v>
      </c>
      <c r="Z39" s="810">
        <v>0</v>
      </c>
      <c r="AA39" s="810">
        <v>155078.31</v>
      </c>
      <c r="AB39" s="810">
        <v>0</v>
      </c>
      <c r="AC39" s="810">
        <v>0</v>
      </c>
      <c r="AD39" s="810">
        <v>0</v>
      </c>
      <c r="AE39" s="810">
        <v>0</v>
      </c>
      <c r="AF39" s="810">
        <v>0</v>
      </c>
      <c r="AG39" s="810">
        <v>0</v>
      </c>
      <c r="AH39" s="810">
        <v>0</v>
      </c>
      <c r="AI39" s="810">
        <v>0</v>
      </c>
      <c r="AJ39" s="810">
        <v>0</v>
      </c>
      <c r="AK39" s="810">
        <v>0</v>
      </c>
      <c r="AL39" s="810">
        <v>0</v>
      </c>
      <c r="AM39" s="810">
        <v>0</v>
      </c>
      <c r="AN39" s="810">
        <v>0</v>
      </c>
      <c r="AO39" s="810">
        <v>0</v>
      </c>
      <c r="AP39" s="810">
        <v>0</v>
      </c>
      <c r="AQ39" s="810">
        <v>0</v>
      </c>
      <c r="AR39" s="810">
        <v>0</v>
      </c>
      <c r="AS39" s="810">
        <v>0</v>
      </c>
      <c r="AT39" s="810">
        <v>0</v>
      </c>
      <c r="AU39" s="810">
        <f t="shared" si="0"/>
        <v>0</v>
      </c>
      <c r="AV39" s="810">
        <v>75300.77</v>
      </c>
      <c r="AW39" s="810">
        <v>155078.31</v>
      </c>
      <c r="AX39" s="811">
        <v>49</v>
      </c>
      <c r="AY39" s="811">
        <v>300</v>
      </c>
      <c r="AZ39" s="810">
        <v>488958.87</v>
      </c>
      <c r="BA39" s="810">
        <v>129961</v>
      </c>
      <c r="BB39" s="812">
        <v>87.49</v>
      </c>
      <c r="BC39" s="812">
        <v>82.776037911373393</v>
      </c>
      <c r="BD39" s="812">
        <v>10.11</v>
      </c>
      <c r="BE39" s="812"/>
      <c r="BF39" s="808" t="s">
        <v>815</v>
      </c>
      <c r="BG39" s="805"/>
      <c r="BH39" s="808" t="s">
        <v>540</v>
      </c>
      <c r="BI39" s="808" t="s">
        <v>849</v>
      </c>
      <c r="BJ39" s="808"/>
      <c r="BK39" s="808" t="s">
        <v>338</v>
      </c>
      <c r="BL39" s="806" t="s">
        <v>2</v>
      </c>
      <c r="BM39" s="812">
        <v>1009287.3073928</v>
      </c>
      <c r="BN39" s="806" t="s">
        <v>740</v>
      </c>
      <c r="BO39" s="812"/>
      <c r="BP39" s="813">
        <v>37890</v>
      </c>
      <c r="BQ39" s="813">
        <v>46997</v>
      </c>
      <c r="BR39" s="812">
        <v>49321.87</v>
      </c>
      <c r="BS39" s="812">
        <v>65</v>
      </c>
      <c r="BT39" s="812">
        <v>28.09</v>
      </c>
    </row>
    <row r="40" spans="1:72" s="802" customFormat="1" ht="18.2" customHeight="1" x14ac:dyDescent="0.15">
      <c r="A40" s="814">
        <v>38</v>
      </c>
      <c r="B40" s="815" t="s">
        <v>413</v>
      </c>
      <c r="C40" s="815" t="s">
        <v>25</v>
      </c>
      <c r="D40" s="816">
        <v>45505</v>
      </c>
      <c r="E40" s="817" t="s">
        <v>854</v>
      </c>
      <c r="F40" s="818">
        <v>0</v>
      </c>
      <c r="G40" s="818">
        <v>0</v>
      </c>
      <c r="H40" s="819">
        <v>67752.94</v>
      </c>
      <c r="I40" s="819">
        <v>0</v>
      </c>
      <c r="J40" s="819">
        <v>0</v>
      </c>
      <c r="K40" s="819">
        <v>67752.94</v>
      </c>
      <c r="L40" s="819">
        <v>1095.32</v>
      </c>
      <c r="M40" s="819">
        <v>0</v>
      </c>
      <c r="N40" s="819">
        <v>0</v>
      </c>
      <c r="O40" s="819">
        <v>0</v>
      </c>
      <c r="P40" s="819">
        <v>1095.32</v>
      </c>
      <c r="Q40" s="819">
        <v>0</v>
      </c>
      <c r="R40" s="819">
        <v>0</v>
      </c>
      <c r="S40" s="819">
        <v>66657.62</v>
      </c>
      <c r="T40" s="819">
        <v>0</v>
      </c>
      <c r="U40" s="819">
        <v>570.82000000000005</v>
      </c>
      <c r="V40" s="819">
        <v>0</v>
      </c>
      <c r="W40" s="819">
        <v>0</v>
      </c>
      <c r="X40" s="819">
        <v>570.82000000000005</v>
      </c>
      <c r="Y40" s="819">
        <v>0</v>
      </c>
      <c r="Z40" s="819">
        <v>0</v>
      </c>
      <c r="AA40" s="819">
        <v>0</v>
      </c>
      <c r="AB40" s="819">
        <v>81.52</v>
      </c>
      <c r="AC40" s="819">
        <v>84.5</v>
      </c>
      <c r="AD40" s="819">
        <v>0</v>
      </c>
      <c r="AE40" s="819">
        <v>0</v>
      </c>
      <c r="AF40" s="819">
        <v>0</v>
      </c>
      <c r="AG40" s="819">
        <v>0</v>
      </c>
      <c r="AH40" s="819">
        <v>93.06</v>
      </c>
      <c r="AI40" s="819">
        <v>114.12</v>
      </c>
      <c r="AJ40" s="819">
        <v>0</v>
      </c>
      <c r="AK40" s="819">
        <v>0</v>
      </c>
      <c r="AL40" s="819">
        <v>0</v>
      </c>
      <c r="AM40" s="819">
        <v>0</v>
      </c>
      <c r="AN40" s="819">
        <v>0</v>
      </c>
      <c r="AO40" s="819">
        <v>0</v>
      </c>
      <c r="AP40" s="819">
        <v>0</v>
      </c>
      <c r="AQ40" s="819">
        <v>0</v>
      </c>
      <c r="AR40" s="819">
        <v>0</v>
      </c>
      <c r="AS40" s="819">
        <v>0</v>
      </c>
      <c r="AT40" s="819">
        <v>84.47</v>
      </c>
      <c r="AU40" s="819">
        <f t="shared" si="0"/>
        <v>1954.87</v>
      </c>
      <c r="AV40" s="819">
        <v>0</v>
      </c>
      <c r="AW40" s="819">
        <v>0</v>
      </c>
      <c r="AX40" s="820">
        <v>49</v>
      </c>
      <c r="AY40" s="820">
        <v>300</v>
      </c>
      <c r="AZ40" s="819">
        <v>664945.62</v>
      </c>
      <c r="BA40" s="819">
        <v>181800</v>
      </c>
      <c r="BB40" s="821">
        <v>90</v>
      </c>
      <c r="BC40" s="821">
        <v>32.998821782178197</v>
      </c>
      <c r="BD40" s="821">
        <v>10.11</v>
      </c>
      <c r="BE40" s="821"/>
      <c r="BF40" s="817" t="s">
        <v>815</v>
      </c>
      <c r="BG40" s="814"/>
      <c r="BH40" s="817" t="s">
        <v>816</v>
      </c>
      <c r="BI40" s="817" t="s">
        <v>820</v>
      </c>
      <c r="BJ40" s="817"/>
      <c r="BK40" s="817" t="s">
        <v>309</v>
      </c>
      <c r="BL40" s="815" t="s">
        <v>2</v>
      </c>
      <c r="BM40" s="821">
        <v>547148.67518128001</v>
      </c>
      <c r="BN40" s="815" t="s">
        <v>740</v>
      </c>
      <c r="BO40" s="821"/>
      <c r="BP40" s="822">
        <v>37890</v>
      </c>
      <c r="BQ40" s="822">
        <v>46997</v>
      </c>
      <c r="BR40" s="821">
        <v>0</v>
      </c>
      <c r="BS40" s="821">
        <v>81.52</v>
      </c>
      <c r="BT40" s="821">
        <v>84.5</v>
      </c>
    </row>
    <row r="41" spans="1:72" s="802" customFormat="1" ht="18.2" customHeight="1" x14ac:dyDescent="0.15">
      <c r="A41" s="805">
        <v>39</v>
      </c>
      <c r="B41" s="806" t="s">
        <v>413</v>
      </c>
      <c r="C41" s="806" t="s">
        <v>25</v>
      </c>
      <c r="D41" s="807">
        <v>45505</v>
      </c>
      <c r="E41" s="808" t="s">
        <v>855</v>
      </c>
      <c r="F41" s="809">
        <v>0</v>
      </c>
      <c r="G41" s="809">
        <v>0</v>
      </c>
      <c r="H41" s="810">
        <v>65925.97</v>
      </c>
      <c r="I41" s="810">
        <v>0</v>
      </c>
      <c r="J41" s="810">
        <v>0</v>
      </c>
      <c r="K41" s="810">
        <v>65925.97</v>
      </c>
      <c r="L41" s="810">
        <v>1068.6400000000001</v>
      </c>
      <c r="M41" s="810">
        <v>0</v>
      </c>
      <c r="N41" s="810">
        <v>0</v>
      </c>
      <c r="O41" s="810">
        <v>0</v>
      </c>
      <c r="P41" s="810">
        <v>1068.6400000000001</v>
      </c>
      <c r="Q41" s="810">
        <v>0</v>
      </c>
      <c r="R41" s="810">
        <v>0</v>
      </c>
      <c r="S41" s="810">
        <v>64857.33</v>
      </c>
      <c r="T41" s="810">
        <v>0</v>
      </c>
      <c r="U41" s="810">
        <v>555.42999999999995</v>
      </c>
      <c r="V41" s="810">
        <v>0</v>
      </c>
      <c r="W41" s="810">
        <v>0</v>
      </c>
      <c r="X41" s="810">
        <v>555.42999999999995</v>
      </c>
      <c r="Y41" s="810">
        <v>0</v>
      </c>
      <c r="Z41" s="810">
        <v>0</v>
      </c>
      <c r="AA41" s="810">
        <v>0</v>
      </c>
      <c r="AB41" s="810">
        <v>79.47</v>
      </c>
      <c r="AC41" s="810">
        <v>84.5</v>
      </c>
      <c r="AD41" s="810">
        <v>0</v>
      </c>
      <c r="AE41" s="810">
        <v>0</v>
      </c>
      <c r="AF41" s="810">
        <v>0</v>
      </c>
      <c r="AG41" s="810">
        <v>0</v>
      </c>
      <c r="AH41" s="810">
        <v>90.72</v>
      </c>
      <c r="AI41" s="810">
        <v>111.09</v>
      </c>
      <c r="AJ41" s="810">
        <v>0</v>
      </c>
      <c r="AK41" s="810">
        <v>0</v>
      </c>
      <c r="AL41" s="810">
        <v>0</v>
      </c>
      <c r="AM41" s="810">
        <v>0</v>
      </c>
      <c r="AN41" s="810">
        <v>0</v>
      </c>
      <c r="AO41" s="810">
        <v>0</v>
      </c>
      <c r="AP41" s="810">
        <v>0</v>
      </c>
      <c r="AQ41" s="810">
        <v>0</v>
      </c>
      <c r="AR41" s="810">
        <v>0</v>
      </c>
      <c r="AS41" s="810">
        <v>0</v>
      </c>
      <c r="AT41" s="810">
        <v>34.97</v>
      </c>
      <c r="AU41" s="810">
        <f t="shared" si="0"/>
        <v>1954.8799999999999</v>
      </c>
      <c r="AV41" s="810">
        <v>0</v>
      </c>
      <c r="AW41" s="810">
        <v>0</v>
      </c>
      <c r="AX41" s="811">
        <v>48</v>
      </c>
      <c r="AY41" s="811">
        <v>300</v>
      </c>
      <c r="AZ41" s="810">
        <v>648157.39</v>
      </c>
      <c r="BA41" s="810">
        <v>177210</v>
      </c>
      <c r="BB41" s="812">
        <v>90</v>
      </c>
      <c r="BC41" s="812">
        <v>32.939222955815097</v>
      </c>
      <c r="BD41" s="812">
        <v>10.11</v>
      </c>
      <c r="BE41" s="812"/>
      <c r="BF41" s="808" t="s">
        <v>815</v>
      </c>
      <c r="BG41" s="805"/>
      <c r="BH41" s="808" t="s">
        <v>816</v>
      </c>
      <c r="BI41" s="808" t="s">
        <v>820</v>
      </c>
      <c r="BJ41" s="808"/>
      <c r="BK41" s="808" t="s">
        <v>309</v>
      </c>
      <c r="BL41" s="806" t="s">
        <v>2</v>
      </c>
      <c r="BM41" s="812">
        <v>532371.27556152001</v>
      </c>
      <c r="BN41" s="806" t="s">
        <v>740</v>
      </c>
      <c r="BO41" s="812"/>
      <c r="BP41" s="813">
        <v>37890</v>
      </c>
      <c r="BQ41" s="813">
        <v>46997</v>
      </c>
      <c r="BR41" s="812">
        <v>0</v>
      </c>
      <c r="BS41" s="812">
        <v>79.47</v>
      </c>
      <c r="BT41" s="812">
        <v>84.5</v>
      </c>
    </row>
    <row r="42" spans="1:72" s="802" customFormat="1" ht="18.2" customHeight="1" x14ac:dyDescent="0.15">
      <c r="A42" s="814">
        <v>40</v>
      </c>
      <c r="B42" s="815" t="s">
        <v>413</v>
      </c>
      <c r="C42" s="815" t="s">
        <v>25</v>
      </c>
      <c r="D42" s="816">
        <v>45505</v>
      </c>
      <c r="E42" s="817" t="s">
        <v>543</v>
      </c>
      <c r="F42" s="818">
        <v>180</v>
      </c>
      <c r="G42" s="818">
        <v>179</v>
      </c>
      <c r="H42" s="819">
        <v>38490.06</v>
      </c>
      <c r="I42" s="819">
        <v>57389.08</v>
      </c>
      <c r="J42" s="819">
        <v>0</v>
      </c>
      <c r="K42" s="819">
        <v>95879.14</v>
      </c>
      <c r="L42" s="819">
        <v>622.16</v>
      </c>
      <c r="M42" s="819">
        <v>0</v>
      </c>
      <c r="N42" s="819">
        <v>0</v>
      </c>
      <c r="O42" s="819">
        <v>0</v>
      </c>
      <c r="P42" s="819">
        <v>0</v>
      </c>
      <c r="Q42" s="819">
        <v>0</v>
      </c>
      <c r="R42" s="819">
        <v>0</v>
      </c>
      <c r="S42" s="819">
        <v>95879.14</v>
      </c>
      <c r="T42" s="819">
        <v>111723.21</v>
      </c>
      <c r="U42" s="819">
        <v>324.24</v>
      </c>
      <c r="V42" s="819">
        <v>0</v>
      </c>
      <c r="W42" s="819">
        <v>0</v>
      </c>
      <c r="X42" s="819">
        <v>0</v>
      </c>
      <c r="Y42" s="819">
        <v>0</v>
      </c>
      <c r="Z42" s="819">
        <v>0</v>
      </c>
      <c r="AA42" s="819">
        <v>112047.45</v>
      </c>
      <c r="AB42" s="819">
        <v>0</v>
      </c>
      <c r="AC42" s="819">
        <v>0</v>
      </c>
      <c r="AD42" s="819">
        <v>0</v>
      </c>
      <c r="AE42" s="819">
        <v>0</v>
      </c>
      <c r="AF42" s="819">
        <v>0</v>
      </c>
      <c r="AG42" s="819">
        <v>0</v>
      </c>
      <c r="AH42" s="819">
        <v>0</v>
      </c>
      <c r="AI42" s="819">
        <v>0</v>
      </c>
      <c r="AJ42" s="819">
        <v>0</v>
      </c>
      <c r="AK42" s="819">
        <v>0</v>
      </c>
      <c r="AL42" s="819">
        <v>0</v>
      </c>
      <c r="AM42" s="819">
        <v>0</v>
      </c>
      <c r="AN42" s="819">
        <v>0</v>
      </c>
      <c r="AO42" s="819">
        <v>0</v>
      </c>
      <c r="AP42" s="819">
        <v>0</v>
      </c>
      <c r="AQ42" s="819">
        <v>0</v>
      </c>
      <c r="AR42" s="819">
        <v>0</v>
      </c>
      <c r="AS42" s="819">
        <v>0</v>
      </c>
      <c r="AT42" s="819">
        <v>0</v>
      </c>
      <c r="AU42" s="819">
        <f t="shared" si="0"/>
        <v>0</v>
      </c>
      <c r="AV42" s="819">
        <v>58011.24</v>
      </c>
      <c r="AW42" s="819">
        <v>112047.45</v>
      </c>
      <c r="AX42" s="820">
        <v>49</v>
      </c>
      <c r="AY42" s="820">
        <v>300</v>
      </c>
      <c r="AZ42" s="819">
        <v>378181.63</v>
      </c>
      <c r="BA42" s="819">
        <v>103266</v>
      </c>
      <c r="BB42" s="821">
        <v>90</v>
      </c>
      <c r="BC42" s="821">
        <v>83.562088199407398</v>
      </c>
      <c r="BD42" s="821">
        <v>10.11</v>
      </c>
      <c r="BE42" s="821"/>
      <c r="BF42" s="817" t="s">
        <v>815</v>
      </c>
      <c r="BG42" s="814"/>
      <c r="BH42" s="817" t="s">
        <v>540</v>
      </c>
      <c r="BI42" s="817" t="s">
        <v>849</v>
      </c>
      <c r="BJ42" s="817"/>
      <c r="BK42" s="817" t="s">
        <v>338</v>
      </c>
      <c r="BL42" s="815" t="s">
        <v>2</v>
      </c>
      <c r="BM42" s="821">
        <v>787008.96354416001</v>
      </c>
      <c r="BN42" s="815" t="s">
        <v>740</v>
      </c>
      <c r="BO42" s="821"/>
      <c r="BP42" s="822">
        <v>37894</v>
      </c>
      <c r="BQ42" s="822">
        <v>46997</v>
      </c>
      <c r="BR42" s="821">
        <v>40167.47</v>
      </c>
      <c r="BS42" s="821">
        <v>65</v>
      </c>
      <c r="BT42" s="821">
        <v>28.04</v>
      </c>
    </row>
    <row r="43" spans="1:72" s="802" customFormat="1" ht="18.2" customHeight="1" x14ac:dyDescent="0.15">
      <c r="A43" s="805">
        <v>41</v>
      </c>
      <c r="B43" s="806" t="s">
        <v>413</v>
      </c>
      <c r="C43" s="806" t="s">
        <v>25</v>
      </c>
      <c r="D43" s="807">
        <v>45505</v>
      </c>
      <c r="E43" s="808" t="s">
        <v>565</v>
      </c>
      <c r="F43" s="809">
        <v>173</v>
      </c>
      <c r="G43" s="809">
        <v>172</v>
      </c>
      <c r="H43" s="810">
        <v>60722.6</v>
      </c>
      <c r="I43" s="810">
        <v>88956</v>
      </c>
      <c r="J43" s="810">
        <v>0</v>
      </c>
      <c r="K43" s="810">
        <v>149678.6</v>
      </c>
      <c r="L43" s="810">
        <v>981.39</v>
      </c>
      <c r="M43" s="810">
        <v>0</v>
      </c>
      <c r="N43" s="810">
        <v>0</v>
      </c>
      <c r="O43" s="810">
        <v>0</v>
      </c>
      <c r="P43" s="810">
        <v>0</v>
      </c>
      <c r="Q43" s="810">
        <v>0</v>
      </c>
      <c r="R43" s="810">
        <v>0</v>
      </c>
      <c r="S43" s="810">
        <v>149678.6</v>
      </c>
      <c r="T43" s="810">
        <v>167818.9</v>
      </c>
      <c r="U43" s="810">
        <v>511.53</v>
      </c>
      <c r="V43" s="810">
        <v>0</v>
      </c>
      <c r="W43" s="810">
        <v>0</v>
      </c>
      <c r="X43" s="810">
        <v>0</v>
      </c>
      <c r="Y43" s="810">
        <v>0</v>
      </c>
      <c r="Z43" s="810">
        <v>0</v>
      </c>
      <c r="AA43" s="810">
        <v>168330.43</v>
      </c>
      <c r="AB43" s="810">
        <v>0</v>
      </c>
      <c r="AC43" s="810">
        <v>0</v>
      </c>
      <c r="AD43" s="810">
        <v>0</v>
      </c>
      <c r="AE43" s="810">
        <v>0</v>
      </c>
      <c r="AF43" s="810">
        <v>0</v>
      </c>
      <c r="AG43" s="810">
        <v>0</v>
      </c>
      <c r="AH43" s="810">
        <v>0</v>
      </c>
      <c r="AI43" s="810">
        <v>0</v>
      </c>
      <c r="AJ43" s="810">
        <v>0</v>
      </c>
      <c r="AK43" s="810">
        <v>0</v>
      </c>
      <c r="AL43" s="810">
        <v>0</v>
      </c>
      <c r="AM43" s="810">
        <v>0</v>
      </c>
      <c r="AN43" s="810">
        <v>0</v>
      </c>
      <c r="AO43" s="810">
        <v>0</v>
      </c>
      <c r="AP43" s="810">
        <v>0</v>
      </c>
      <c r="AQ43" s="810">
        <v>0</v>
      </c>
      <c r="AR43" s="810">
        <v>0</v>
      </c>
      <c r="AS43" s="810">
        <v>0</v>
      </c>
      <c r="AT43" s="810">
        <v>0</v>
      </c>
      <c r="AU43" s="810">
        <f t="shared" si="0"/>
        <v>0</v>
      </c>
      <c r="AV43" s="810">
        <v>89937.39</v>
      </c>
      <c r="AW43" s="810">
        <v>168330.43</v>
      </c>
      <c r="AX43" s="811">
        <v>50</v>
      </c>
      <c r="AY43" s="811">
        <v>300</v>
      </c>
      <c r="AZ43" s="810">
        <v>596380.69999999995</v>
      </c>
      <c r="BA43" s="810">
        <v>162900</v>
      </c>
      <c r="BB43" s="812">
        <v>90</v>
      </c>
      <c r="BC43" s="812">
        <v>82.695359116022104</v>
      </c>
      <c r="BD43" s="812">
        <v>10.11</v>
      </c>
      <c r="BE43" s="812"/>
      <c r="BF43" s="808" t="s">
        <v>815</v>
      </c>
      <c r="BG43" s="805"/>
      <c r="BH43" s="808" t="s">
        <v>540</v>
      </c>
      <c r="BI43" s="808" t="s">
        <v>843</v>
      </c>
      <c r="BJ43" s="808"/>
      <c r="BK43" s="808" t="s">
        <v>338</v>
      </c>
      <c r="BL43" s="806" t="s">
        <v>2</v>
      </c>
      <c r="BM43" s="812">
        <v>1228613.4382384</v>
      </c>
      <c r="BN43" s="806" t="s">
        <v>740</v>
      </c>
      <c r="BO43" s="812"/>
      <c r="BP43" s="813">
        <v>37893</v>
      </c>
      <c r="BQ43" s="813">
        <v>46997</v>
      </c>
      <c r="BR43" s="812">
        <v>51746.25</v>
      </c>
      <c r="BS43" s="812">
        <v>73.05</v>
      </c>
      <c r="BT43" s="812">
        <v>28.07</v>
      </c>
    </row>
    <row r="44" spans="1:72" s="802" customFormat="1" ht="18.2" customHeight="1" x14ac:dyDescent="0.15">
      <c r="A44" s="814">
        <v>42</v>
      </c>
      <c r="B44" s="815" t="s">
        <v>413</v>
      </c>
      <c r="C44" s="815" t="s">
        <v>25</v>
      </c>
      <c r="D44" s="816">
        <v>45505</v>
      </c>
      <c r="E44" s="817" t="s">
        <v>566</v>
      </c>
      <c r="F44" s="818">
        <v>32</v>
      </c>
      <c r="G44" s="818">
        <v>31</v>
      </c>
      <c r="H44" s="819">
        <v>59782.07</v>
      </c>
      <c r="I44" s="819">
        <v>26135.39</v>
      </c>
      <c r="J44" s="819">
        <v>0</v>
      </c>
      <c r="K44" s="819">
        <v>85917.46</v>
      </c>
      <c r="L44" s="819">
        <v>989.32</v>
      </c>
      <c r="M44" s="819">
        <v>0</v>
      </c>
      <c r="N44" s="819">
        <v>0</v>
      </c>
      <c r="O44" s="819">
        <v>0</v>
      </c>
      <c r="P44" s="819">
        <v>0</v>
      </c>
      <c r="Q44" s="819">
        <v>0</v>
      </c>
      <c r="R44" s="819">
        <v>0</v>
      </c>
      <c r="S44" s="819">
        <v>85917.46</v>
      </c>
      <c r="T44" s="819">
        <v>18665.82</v>
      </c>
      <c r="U44" s="819">
        <v>503.6</v>
      </c>
      <c r="V44" s="819">
        <v>0</v>
      </c>
      <c r="W44" s="819">
        <v>0</v>
      </c>
      <c r="X44" s="819">
        <v>0</v>
      </c>
      <c r="Y44" s="819">
        <v>0</v>
      </c>
      <c r="Z44" s="819">
        <v>0</v>
      </c>
      <c r="AA44" s="819">
        <v>19169.419999999998</v>
      </c>
      <c r="AB44" s="819">
        <v>0</v>
      </c>
      <c r="AC44" s="819">
        <v>0</v>
      </c>
      <c r="AD44" s="819">
        <v>0</v>
      </c>
      <c r="AE44" s="819">
        <v>0</v>
      </c>
      <c r="AF44" s="819">
        <v>0</v>
      </c>
      <c r="AG44" s="819">
        <v>0</v>
      </c>
      <c r="AH44" s="819">
        <v>0</v>
      </c>
      <c r="AI44" s="819">
        <v>0</v>
      </c>
      <c r="AJ44" s="819">
        <v>0</v>
      </c>
      <c r="AK44" s="819">
        <v>0</v>
      </c>
      <c r="AL44" s="819">
        <v>0</v>
      </c>
      <c r="AM44" s="819">
        <v>0</v>
      </c>
      <c r="AN44" s="819">
        <v>0</v>
      </c>
      <c r="AO44" s="819">
        <v>0</v>
      </c>
      <c r="AP44" s="819">
        <v>0</v>
      </c>
      <c r="AQ44" s="819">
        <v>0</v>
      </c>
      <c r="AR44" s="819">
        <v>0</v>
      </c>
      <c r="AS44" s="819">
        <v>0</v>
      </c>
      <c r="AT44" s="819">
        <v>0</v>
      </c>
      <c r="AU44" s="819">
        <f t="shared" si="0"/>
        <v>0</v>
      </c>
      <c r="AV44" s="819">
        <v>27124.71</v>
      </c>
      <c r="AW44" s="819">
        <v>19169.419999999998</v>
      </c>
      <c r="AX44" s="820">
        <v>49</v>
      </c>
      <c r="AY44" s="820">
        <v>300</v>
      </c>
      <c r="AZ44" s="819">
        <v>596380.69999999995</v>
      </c>
      <c r="BA44" s="819">
        <v>162900</v>
      </c>
      <c r="BB44" s="821">
        <v>90</v>
      </c>
      <c r="BC44" s="821">
        <v>47.468209944751401</v>
      </c>
      <c r="BD44" s="821">
        <v>10.11</v>
      </c>
      <c r="BE44" s="821"/>
      <c r="BF44" s="817" t="s">
        <v>815</v>
      </c>
      <c r="BG44" s="814"/>
      <c r="BH44" s="817" t="s">
        <v>540</v>
      </c>
      <c r="BI44" s="817" t="s">
        <v>843</v>
      </c>
      <c r="BJ44" s="817"/>
      <c r="BK44" s="817" t="s">
        <v>338</v>
      </c>
      <c r="BL44" s="815" t="s">
        <v>2</v>
      </c>
      <c r="BM44" s="821">
        <v>705240.06728624005</v>
      </c>
      <c r="BN44" s="815" t="s">
        <v>740</v>
      </c>
      <c r="BO44" s="821"/>
      <c r="BP44" s="822">
        <v>37893</v>
      </c>
      <c r="BQ44" s="822">
        <v>46997</v>
      </c>
      <c r="BR44" s="821">
        <v>8955.15</v>
      </c>
      <c r="BS44" s="821">
        <v>73.05</v>
      </c>
      <c r="BT44" s="821">
        <v>28.07</v>
      </c>
    </row>
    <row r="45" spans="1:72" s="802" customFormat="1" ht="18.2" customHeight="1" x14ac:dyDescent="0.15">
      <c r="A45" s="805">
        <v>43</v>
      </c>
      <c r="B45" s="806" t="s">
        <v>413</v>
      </c>
      <c r="C45" s="806" t="s">
        <v>25</v>
      </c>
      <c r="D45" s="807">
        <v>45505</v>
      </c>
      <c r="E45" s="808" t="s">
        <v>567</v>
      </c>
      <c r="F45" s="809">
        <v>186</v>
      </c>
      <c r="G45" s="809">
        <v>185</v>
      </c>
      <c r="H45" s="810">
        <v>30524.16</v>
      </c>
      <c r="I45" s="810">
        <v>46157.54</v>
      </c>
      <c r="J45" s="810">
        <v>0</v>
      </c>
      <c r="K45" s="810">
        <v>76681.7</v>
      </c>
      <c r="L45" s="810">
        <v>493.46</v>
      </c>
      <c r="M45" s="810">
        <v>0</v>
      </c>
      <c r="N45" s="810">
        <v>0</v>
      </c>
      <c r="O45" s="810">
        <v>0</v>
      </c>
      <c r="P45" s="810">
        <v>0</v>
      </c>
      <c r="Q45" s="810">
        <v>0</v>
      </c>
      <c r="R45" s="810">
        <v>0</v>
      </c>
      <c r="S45" s="810">
        <v>76681.7</v>
      </c>
      <c r="T45" s="810">
        <v>92280.22</v>
      </c>
      <c r="U45" s="810">
        <v>257.13</v>
      </c>
      <c r="V45" s="810">
        <v>0</v>
      </c>
      <c r="W45" s="810">
        <v>0</v>
      </c>
      <c r="X45" s="810">
        <v>0</v>
      </c>
      <c r="Y45" s="810">
        <v>0</v>
      </c>
      <c r="Z45" s="810">
        <v>0</v>
      </c>
      <c r="AA45" s="810">
        <v>92537.35</v>
      </c>
      <c r="AB45" s="810">
        <v>0</v>
      </c>
      <c r="AC45" s="810">
        <v>0</v>
      </c>
      <c r="AD45" s="810">
        <v>0</v>
      </c>
      <c r="AE45" s="810">
        <v>0</v>
      </c>
      <c r="AF45" s="810">
        <v>0</v>
      </c>
      <c r="AG45" s="810">
        <v>0</v>
      </c>
      <c r="AH45" s="810">
        <v>0</v>
      </c>
      <c r="AI45" s="810">
        <v>0</v>
      </c>
      <c r="AJ45" s="810">
        <v>0</v>
      </c>
      <c r="AK45" s="810">
        <v>0</v>
      </c>
      <c r="AL45" s="810">
        <v>0</v>
      </c>
      <c r="AM45" s="810">
        <v>0</v>
      </c>
      <c r="AN45" s="810">
        <v>0</v>
      </c>
      <c r="AO45" s="810">
        <v>0</v>
      </c>
      <c r="AP45" s="810">
        <v>0</v>
      </c>
      <c r="AQ45" s="810">
        <v>0</v>
      </c>
      <c r="AR45" s="810">
        <v>0</v>
      </c>
      <c r="AS45" s="810">
        <v>0</v>
      </c>
      <c r="AT45" s="810">
        <v>0</v>
      </c>
      <c r="AU45" s="810">
        <f t="shared" si="0"/>
        <v>0</v>
      </c>
      <c r="AV45" s="810">
        <v>46651</v>
      </c>
      <c r="AW45" s="810">
        <v>92537.35</v>
      </c>
      <c r="AX45" s="811">
        <v>49</v>
      </c>
      <c r="AY45" s="811">
        <v>300</v>
      </c>
      <c r="AZ45" s="810">
        <v>299932.27</v>
      </c>
      <c r="BA45" s="810">
        <v>81900</v>
      </c>
      <c r="BB45" s="812">
        <v>90</v>
      </c>
      <c r="BC45" s="812">
        <v>84.265604395604399</v>
      </c>
      <c r="BD45" s="812">
        <v>10.11</v>
      </c>
      <c r="BE45" s="812"/>
      <c r="BF45" s="808" t="s">
        <v>815</v>
      </c>
      <c r="BG45" s="805"/>
      <c r="BH45" s="808" t="s">
        <v>540</v>
      </c>
      <c r="BI45" s="808" t="s">
        <v>849</v>
      </c>
      <c r="BJ45" s="808"/>
      <c r="BK45" s="808" t="s">
        <v>338</v>
      </c>
      <c r="BL45" s="806" t="s">
        <v>2</v>
      </c>
      <c r="BM45" s="812">
        <v>629429.77210479998</v>
      </c>
      <c r="BN45" s="806" t="s">
        <v>740</v>
      </c>
      <c r="BO45" s="812"/>
      <c r="BP45" s="813">
        <v>37894</v>
      </c>
      <c r="BQ45" s="813">
        <v>46997</v>
      </c>
      <c r="BR45" s="812">
        <v>37192.94</v>
      </c>
      <c r="BS45" s="812">
        <v>65</v>
      </c>
      <c r="BT45" s="812">
        <v>28.05</v>
      </c>
    </row>
    <row r="46" spans="1:72" s="802" customFormat="1" ht="18.2" customHeight="1" x14ac:dyDescent="0.15">
      <c r="A46" s="814">
        <v>44</v>
      </c>
      <c r="B46" s="815" t="s">
        <v>413</v>
      </c>
      <c r="C46" s="815" t="s">
        <v>25</v>
      </c>
      <c r="D46" s="816">
        <v>45505</v>
      </c>
      <c r="E46" s="817" t="s">
        <v>856</v>
      </c>
      <c r="F46" s="818">
        <v>4</v>
      </c>
      <c r="G46" s="818">
        <v>4</v>
      </c>
      <c r="H46" s="819">
        <v>60160.13</v>
      </c>
      <c r="I46" s="819">
        <v>3848.05</v>
      </c>
      <c r="J46" s="819">
        <v>0</v>
      </c>
      <c r="K46" s="819">
        <v>64008.18</v>
      </c>
      <c r="L46" s="819">
        <v>986.13</v>
      </c>
      <c r="M46" s="819">
        <v>0</v>
      </c>
      <c r="N46" s="819">
        <v>0</v>
      </c>
      <c r="O46" s="819">
        <v>953.59</v>
      </c>
      <c r="P46" s="819">
        <v>0</v>
      </c>
      <c r="Q46" s="819">
        <v>0</v>
      </c>
      <c r="R46" s="819">
        <v>0</v>
      </c>
      <c r="S46" s="819">
        <v>63061.97</v>
      </c>
      <c r="T46" s="819">
        <v>1757.92</v>
      </c>
      <c r="U46" s="819">
        <v>506.79</v>
      </c>
      <c r="V46" s="819">
        <v>0</v>
      </c>
      <c r="W46" s="819">
        <v>475.05</v>
      </c>
      <c r="X46" s="819">
        <v>61</v>
      </c>
      <c r="Y46" s="819">
        <v>0</v>
      </c>
      <c r="Z46" s="819">
        <v>0</v>
      </c>
      <c r="AA46" s="819">
        <v>1728.65</v>
      </c>
      <c r="AB46" s="819">
        <v>0</v>
      </c>
      <c r="AC46" s="819">
        <v>0</v>
      </c>
      <c r="AD46" s="819">
        <v>0</v>
      </c>
      <c r="AE46" s="819">
        <v>0</v>
      </c>
      <c r="AF46" s="819">
        <v>0</v>
      </c>
      <c r="AG46" s="819">
        <v>0</v>
      </c>
      <c r="AH46" s="819">
        <v>0</v>
      </c>
      <c r="AI46" s="819">
        <v>0</v>
      </c>
      <c r="AJ46" s="819">
        <v>73.05</v>
      </c>
      <c r="AK46" s="819">
        <v>0</v>
      </c>
      <c r="AL46" s="819">
        <v>0</v>
      </c>
      <c r="AM46" s="819">
        <v>28.06</v>
      </c>
      <c r="AN46" s="819">
        <v>0</v>
      </c>
      <c r="AO46" s="819">
        <v>83.39</v>
      </c>
      <c r="AP46" s="819">
        <v>102.25</v>
      </c>
      <c r="AQ46" s="819">
        <v>0</v>
      </c>
      <c r="AR46" s="819">
        <v>0</v>
      </c>
      <c r="AS46" s="819">
        <v>3.6549999999999998E-3</v>
      </c>
      <c r="AT46" s="819">
        <v>0</v>
      </c>
      <c r="AU46" s="819">
        <f t="shared" si="0"/>
        <v>1776.3863449999999</v>
      </c>
      <c r="AV46" s="819">
        <v>3895.36</v>
      </c>
      <c r="AW46" s="819">
        <v>1728.65</v>
      </c>
      <c r="AX46" s="820">
        <v>49</v>
      </c>
      <c r="AY46" s="820">
        <v>300</v>
      </c>
      <c r="AZ46" s="819">
        <v>596568.57999999996</v>
      </c>
      <c r="BA46" s="819">
        <v>162900</v>
      </c>
      <c r="BB46" s="821">
        <v>90</v>
      </c>
      <c r="BC46" s="821">
        <v>34.840867403314903</v>
      </c>
      <c r="BD46" s="821">
        <v>10.11</v>
      </c>
      <c r="BE46" s="821"/>
      <c r="BF46" s="817" t="s">
        <v>815</v>
      </c>
      <c r="BG46" s="814"/>
      <c r="BH46" s="817" t="s">
        <v>540</v>
      </c>
      <c r="BI46" s="817" t="s">
        <v>843</v>
      </c>
      <c r="BJ46" s="817"/>
      <c r="BK46" s="817" t="s">
        <v>828</v>
      </c>
      <c r="BL46" s="815" t="s">
        <v>2</v>
      </c>
      <c r="BM46" s="821">
        <v>517634.34307767998</v>
      </c>
      <c r="BN46" s="815" t="s">
        <v>740</v>
      </c>
      <c r="BO46" s="821"/>
      <c r="BP46" s="822">
        <v>37894</v>
      </c>
      <c r="BQ46" s="822">
        <v>46997</v>
      </c>
      <c r="BR46" s="821">
        <v>860.25</v>
      </c>
      <c r="BS46" s="821">
        <v>73.05</v>
      </c>
      <c r="BT46" s="821">
        <v>28.06</v>
      </c>
    </row>
    <row r="47" spans="1:72" s="802" customFormat="1" ht="18.2" customHeight="1" x14ac:dyDescent="0.15">
      <c r="A47" s="805">
        <v>45</v>
      </c>
      <c r="B47" s="806" t="s">
        <v>413</v>
      </c>
      <c r="C47" s="806" t="s">
        <v>25</v>
      </c>
      <c r="D47" s="807">
        <v>45505</v>
      </c>
      <c r="E47" s="808" t="s">
        <v>857</v>
      </c>
      <c r="F47" s="809">
        <v>0</v>
      </c>
      <c r="G47" s="809">
        <v>1</v>
      </c>
      <c r="H47" s="810">
        <v>48829.94</v>
      </c>
      <c r="I47" s="810">
        <v>814.85</v>
      </c>
      <c r="J47" s="810">
        <v>0</v>
      </c>
      <c r="K47" s="810">
        <v>49644.79</v>
      </c>
      <c r="L47" s="810">
        <v>821.72</v>
      </c>
      <c r="M47" s="810">
        <v>0</v>
      </c>
      <c r="N47" s="810">
        <v>0</v>
      </c>
      <c r="O47" s="810">
        <v>0</v>
      </c>
      <c r="P47" s="810">
        <v>1636.57</v>
      </c>
      <c r="Q47" s="810">
        <v>0</v>
      </c>
      <c r="R47" s="810">
        <v>0</v>
      </c>
      <c r="S47" s="810">
        <v>48008.22</v>
      </c>
      <c r="T47" s="810">
        <v>418.26</v>
      </c>
      <c r="U47" s="810">
        <v>411.39</v>
      </c>
      <c r="V47" s="810">
        <v>0</v>
      </c>
      <c r="W47" s="810">
        <v>418.26</v>
      </c>
      <c r="X47" s="810">
        <v>411.39</v>
      </c>
      <c r="Y47" s="810">
        <v>0</v>
      </c>
      <c r="Z47" s="810">
        <v>0</v>
      </c>
      <c r="AA47" s="810">
        <v>0</v>
      </c>
      <c r="AB47" s="810">
        <v>65</v>
      </c>
      <c r="AC47" s="810">
        <v>0</v>
      </c>
      <c r="AD47" s="810">
        <v>0</v>
      </c>
      <c r="AE47" s="810">
        <v>0</v>
      </c>
      <c r="AF47" s="810">
        <v>0</v>
      </c>
      <c r="AG47" s="810">
        <v>0</v>
      </c>
      <c r="AH47" s="810">
        <v>69.11</v>
      </c>
      <c r="AI47" s="810">
        <v>84.35</v>
      </c>
      <c r="AJ47" s="810">
        <v>65</v>
      </c>
      <c r="AK47" s="810">
        <v>0</v>
      </c>
      <c r="AL47" s="810">
        <v>0</v>
      </c>
      <c r="AM47" s="810">
        <v>0</v>
      </c>
      <c r="AN47" s="810">
        <v>0</v>
      </c>
      <c r="AO47" s="810">
        <v>69.11</v>
      </c>
      <c r="AP47" s="810">
        <v>84.23</v>
      </c>
      <c r="AQ47" s="810">
        <v>2.1999999999999999E-2</v>
      </c>
      <c r="AR47" s="810">
        <v>0</v>
      </c>
      <c r="AS47" s="810">
        <v>0</v>
      </c>
      <c r="AT47" s="810">
        <v>0</v>
      </c>
      <c r="AU47" s="810">
        <f t="shared" si="0"/>
        <v>2903.0420000000004</v>
      </c>
      <c r="AV47" s="810">
        <v>0</v>
      </c>
      <c r="AW47" s="810">
        <v>0</v>
      </c>
      <c r="AX47" s="811">
        <v>48</v>
      </c>
      <c r="AY47" s="811">
        <v>300</v>
      </c>
      <c r="AZ47" s="810">
        <v>492745.87</v>
      </c>
      <c r="BA47" s="810">
        <v>134550</v>
      </c>
      <c r="BB47" s="812">
        <v>90</v>
      </c>
      <c r="BC47" s="812">
        <v>32.112521739130401</v>
      </c>
      <c r="BD47" s="812">
        <v>10.11</v>
      </c>
      <c r="BE47" s="812"/>
      <c r="BF47" s="808" t="s">
        <v>815</v>
      </c>
      <c r="BG47" s="805"/>
      <c r="BH47" s="808" t="s">
        <v>540</v>
      </c>
      <c r="BI47" s="808" t="s">
        <v>843</v>
      </c>
      <c r="BJ47" s="808"/>
      <c r="BK47" s="808" t="s">
        <v>309</v>
      </c>
      <c r="BL47" s="806" t="s">
        <v>2</v>
      </c>
      <c r="BM47" s="812">
        <v>394067.98458768002</v>
      </c>
      <c r="BN47" s="806" t="s">
        <v>740</v>
      </c>
      <c r="BO47" s="812"/>
      <c r="BP47" s="813">
        <v>37894</v>
      </c>
      <c r="BQ47" s="813">
        <v>46997</v>
      </c>
      <c r="BR47" s="812">
        <v>0</v>
      </c>
      <c r="BS47" s="812">
        <v>65</v>
      </c>
      <c r="BT47" s="812">
        <v>0</v>
      </c>
    </row>
    <row r="48" spans="1:72" s="802" customFormat="1" ht="18.2" customHeight="1" x14ac:dyDescent="0.15">
      <c r="A48" s="814">
        <v>46</v>
      </c>
      <c r="B48" s="815" t="s">
        <v>413</v>
      </c>
      <c r="C48" s="815" t="s">
        <v>25</v>
      </c>
      <c r="D48" s="816">
        <v>45505</v>
      </c>
      <c r="E48" s="817" t="s">
        <v>568</v>
      </c>
      <c r="F48" s="818">
        <v>146</v>
      </c>
      <c r="G48" s="818">
        <v>145</v>
      </c>
      <c r="H48" s="819">
        <v>30524.16</v>
      </c>
      <c r="I48" s="819">
        <v>41210.71</v>
      </c>
      <c r="J48" s="819">
        <v>0</v>
      </c>
      <c r="K48" s="819">
        <v>71734.87</v>
      </c>
      <c r="L48" s="819">
        <v>493.46</v>
      </c>
      <c r="M48" s="819">
        <v>0</v>
      </c>
      <c r="N48" s="819">
        <v>0</v>
      </c>
      <c r="O48" s="819">
        <v>0</v>
      </c>
      <c r="P48" s="819">
        <v>0</v>
      </c>
      <c r="Q48" s="819">
        <v>0</v>
      </c>
      <c r="R48" s="819">
        <v>0</v>
      </c>
      <c r="S48" s="819">
        <v>71734.87</v>
      </c>
      <c r="T48" s="819">
        <v>67424.47</v>
      </c>
      <c r="U48" s="819">
        <v>257.13</v>
      </c>
      <c r="V48" s="819">
        <v>0</v>
      </c>
      <c r="W48" s="819">
        <v>0</v>
      </c>
      <c r="X48" s="819">
        <v>0</v>
      </c>
      <c r="Y48" s="819">
        <v>0</v>
      </c>
      <c r="Z48" s="819">
        <v>0</v>
      </c>
      <c r="AA48" s="819">
        <v>67681.600000000006</v>
      </c>
      <c r="AB48" s="819">
        <v>0</v>
      </c>
      <c r="AC48" s="819">
        <v>0</v>
      </c>
      <c r="AD48" s="819">
        <v>0</v>
      </c>
      <c r="AE48" s="819">
        <v>0</v>
      </c>
      <c r="AF48" s="819">
        <v>0</v>
      </c>
      <c r="AG48" s="819">
        <v>0</v>
      </c>
      <c r="AH48" s="819">
        <v>0</v>
      </c>
      <c r="AI48" s="819">
        <v>0</v>
      </c>
      <c r="AJ48" s="819">
        <v>0</v>
      </c>
      <c r="AK48" s="819">
        <v>0</v>
      </c>
      <c r="AL48" s="819">
        <v>0</v>
      </c>
      <c r="AM48" s="819">
        <v>0</v>
      </c>
      <c r="AN48" s="819">
        <v>0</v>
      </c>
      <c r="AO48" s="819">
        <v>0</v>
      </c>
      <c r="AP48" s="819">
        <v>0</v>
      </c>
      <c r="AQ48" s="819">
        <v>0</v>
      </c>
      <c r="AR48" s="819">
        <v>0</v>
      </c>
      <c r="AS48" s="819">
        <v>0</v>
      </c>
      <c r="AT48" s="819">
        <v>0</v>
      </c>
      <c r="AU48" s="819">
        <f t="shared" si="0"/>
        <v>0</v>
      </c>
      <c r="AV48" s="819">
        <v>41704.17</v>
      </c>
      <c r="AW48" s="819">
        <v>67681.600000000006</v>
      </c>
      <c r="AX48" s="820">
        <v>48</v>
      </c>
      <c r="AY48" s="820">
        <v>300</v>
      </c>
      <c r="AZ48" s="819">
        <v>299932.27</v>
      </c>
      <c r="BA48" s="819">
        <v>81900</v>
      </c>
      <c r="BB48" s="821">
        <v>90</v>
      </c>
      <c r="BC48" s="821">
        <v>78.829527472527502</v>
      </c>
      <c r="BD48" s="821">
        <v>10.11</v>
      </c>
      <c r="BE48" s="821"/>
      <c r="BF48" s="817" t="s">
        <v>815</v>
      </c>
      <c r="BG48" s="814"/>
      <c r="BH48" s="817" t="s">
        <v>540</v>
      </c>
      <c r="BI48" s="817" t="s">
        <v>849</v>
      </c>
      <c r="BJ48" s="817"/>
      <c r="BK48" s="817" t="s">
        <v>338</v>
      </c>
      <c r="BL48" s="815" t="s">
        <v>2</v>
      </c>
      <c r="BM48" s="821">
        <v>588824.48975527997</v>
      </c>
      <c r="BN48" s="815" t="s">
        <v>740</v>
      </c>
      <c r="BO48" s="821"/>
      <c r="BP48" s="822">
        <v>37894</v>
      </c>
      <c r="BQ48" s="822">
        <v>46997</v>
      </c>
      <c r="BR48" s="821">
        <v>28744</v>
      </c>
      <c r="BS48" s="821">
        <v>65</v>
      </c>
      <c r="BT48" s="821">
        <v>28.05</v>
      </c>
    </row>
    <row r="49" spans="1:72" s="802" customFormat="1" ht="18.2" customHeight="1" x14ac:dyDescent="0.15">
      <c r="A49" s="805">
        <v>47</v>
      </c>
      <c r="B49" s="806" t="s">
        <v>413</v>
      </c>
      <c r="C49" s="806" t="s">
        <v>25</v>
      </c>
      <c r="D49" s="807">
        <v>45505</v>
      </c>
      <c r="E49" s="808" t="s">
        <v>569</v>
      </c>
      <c r="F49" s="809">
        <v>67</v>
      </c>
      <c r="G49" s="809">
        <v>66</v>
      </c>
      <c r="H49" s="810">
        <v>57209.71</v>
      </c>
      <c r="I49" s="810">
        <v>47123.47</v>
      </c>
      <c r="J49" s="810">
        <v>0</v>
      </c>
      <c r="K49" s="810">
        <v>104333.18</v>
      </c>
      <c r="L49" s="810">
        <v>934.01</v>
      </c>
      <c r="M49" s="810">
        <v>0</v>
      </c>
      <c r="N49" s="810">
        <v>0</v>
      </c>
      <c r="O49" s="810">
        <v>0</v>
      </c>
      <c r="P49" s="810">
        <v>0</v>
      </c>
      <c r="Q49" s="810">
        <v>0</v>
      </c>
      <c r="R49" s="810">
        <v>0</v>
      </c>
      <c r="S49" s="810">
        <v>104333.18</v>
      </c>
      <c r="T49" s="810">
        <v>45842.13</v>
      </c>
      <c r="U49" s="810">
        <v>481.93</v>
      </c>
      <c r="V49" s="810">
        <v>0</v>
      </c>
      <c r="W49" s="810">
        <v>0</v>
      </c>
      <c r="X49" s="810">
        <v>0</v>
      </c>
      <c r="Y49" s="810">
        <v>0</v>
      </c>
      <c r="Z49" s="810">
        <v>0</v>
      </c>
      <c r="AA49" s="810">
        <v>46324.06</v>
      </c>
      <c r="AB49" s="810">
        <v>0</v>
      </c>
      <c r="AC49" s="810">
        <v>0</v>
      </c>
      <c r="AD49" s="810">
        <v>0</v>
      </c>
      <c r="AE49" s="810">
        <v>0</v>
      </c>
      <c r="AF49" s="810">
        <v>0</v>
      </c>
      <c r="AG49" s="810">
        <v>0</v>
      </c>
      <c r="AH49" s="810">
        <v>0</v>
      </c>
      <c r="AI49" s="810">
        <v>0</v>
      </c>
      <c r="AJ49" s="810">
        <v>0</v>
      </c>
      <c r="AK49" s="810">
        <v>0</v>
      </c>
      <c r="AL49" s="810">
        <v>0</v>
      </c>
      <c r="AM49" s="810">
        <v>0</v>
      </c>
      <c r="AN49" s="810">
        <v>0</v>
      </c>
      <c r="AO49" s="810">
        <v>0</v>
      </c>
      <c r="AP49" s="810">
        <v>0</v>
      </c>
      <c r="AQ49" s="810">
        <v>0</v>
      </c>
      <c r="AR49" s="810">
        <v>0</v>
      </c>
      <c r="AS49" s="810">
        <v>0</v>
      </c>
      <c r="AT49" s="810">
        <v>0</v>
      </c>
      <c r="AU49" s="810">
        <f t="shared" si="0"/>
        <v>0</v>
      </c>
      <c r="AV49" s="810">
        <v>48057.48</v>
      </c>
      <c r="AW49" s="810">
        <v>46324.06</v>
      </c>
      <c r="AX49" s="811">
        <v>48</v>
      </c>
      <c r="AY49" s="811">
        <v>300</v>
      </c>
      <c r="AZ49" s="810">
        <v>596568.57999999996</v>
      </c>
      <c r="BA49" s="810">
        <v>154500</v>
      </c>
      <c r="BB49" s="812">
        <v>85.36</v>
      </c>
      <c r="BC49" s="812">
        <v>57.643237830420702</v>
      </c>
      <c r="BD49" s="812">
        <v>10.11</v>
      </c>
      <c r="BE49" s="812"/>
      <c r="BF49" s="808" t="s">
        <v>815</v>
      </c>
      <c r="BG49" s="805"/>
      <c r="BH49" s="808" t="s">
        <v>540</v>
      </c>
      <c r="BI49" s="808" t="s">
        <v>843</v>
      </c>
      <c r="BJ49" s="808"/>
      <c r="BK49" s="808" t="s">
        <v>338</v>
      </c>
      <c r="BL49" s="806" t="s">
        <v>2</v>
      </c>
      <c r="BM49" s="812">
        <v>856402.63205391995</v>
      </c>
      <c r="BN49" s="806" t="s">
        <v>740</v>
      </c>
      <c r="BO49" s="812"/>
      <c r="BP49" s="813">
        <v>37894</v>
      </c>
      <c r="BQ49" s="813">
        <v>46997</v>
      </c>
      <c r="BR49" s="812">
        <v>18356.46</v>
      </c>
      <c r="BS49" s="812">
        <v>69.28</v>
      </c>
      <c r="BT49" s="812">
        <v>28.06</v>
      </c>
    </row>
    <row r="50" spans="1:72" s="802" customFormat="1" ht="18.2" customHeight="1" x14ac:dyDescent="0.15">
      <c r="A50" s="814">
        <v>48</v>
      </c>
      <c r="B50" s="815" t="s">
        <v>413</v>
      </c>
      <c r="C50" s="815" t="s">
        <v>25</v>
      </c>
      <c r="D50" s="816">
        <v>45505</v>
      </c>
      <c r="E50" s="817" t="s">
        <v>570</v>
      </c>
      <c r="F50" s="818">
        <v>196</v>
      </c>
      <c r="G50" s="818">
        <v>195</v>
      </c>
      <c r="H50" s="819">
        <v>30524.16</v>
      </c>
      <c r="I50" s="819">
        <v>47155.83</v>
      </c>
      <c r="J50" s="819">
        <v>0</v>
      </c>
      <c r="K50" s="819">
        <v>77679.990000000005</v>
      </c>
      <c r="L50" s="819">
        <v>493.46</v>
      </c>
      <c r="M50" s="819">
        <v>0</v>
      </c>
      <c r="N50" s="819">
        <v>0</v>
      </c>
      <c r="O50" s="819">
        <v>0</v>
      </c>
      <c r="P50" s="819">
        <v>0</v>
      </c>
      <c r="Q50" s="819">
        <v>0</v>
      </c>
      <c r="R50" s="819">
        <v>0</v>
      </c>
      <c r="S50" s="819">
        <v>77679.990000000005</v>
      </c>
      <c r="T50" s="819">
        <v>99205.48</v>
      </c>
      <c r="U50" s="819">
        <v>257.13</v>
      </c>
      <c r="V50" s="819">
        <v>0</v>
      </c>
      <c r="W50" s="819">
        <v>0</v>
      </c>
      <c r="X50" s="819">
        <v>0</v>
      </c>
      <c r="Y50" s="819">
        <v>0</v>
      </c>
      <c r="Z50" s="819">
        <v>0</v>
      </c>
      <c r="AA50" s="819">
        <v>99462.61</v>
      </c>
      <c r="AB50" s="819">
        <v>0</v>
      </c>
      <c r="AC50" s="819">
        <v>0</v>
      </c>
      <c r="AD50" s="819">
        <v>0</v>
      </c>
      <c r="AE50" s="819">
        <v>0</v>
      </c>
      <c r="AF50" s="819">
        <v>0</v>
      </c>
      <c r="AG50" s="819">
        <v>0</v>
      </c>
      <c r="AH50" s="819">
        <v>0</v>
      </c>
      <c r="AI50" s="819">
        <v>0</v>
      </c>
      <c r="AJ50" s="819">
        <v>0</v>
      </c>
      <c r="AK50" s="819">
        <v>0</v>
      </c>
      <c r="AL50" s="819">
        <v>0</v>
      </c>
      <c r="AM50" s="819">
        <v>0</v>
      </c>
      <c r="AN50" s="819">
        <v>0</v>
      </c>
      <c r="AO50" s="819">
        <v>0</v>
      </c>
      <c r="AP50" s="819">
        <v>0</v>
      </c>
      <c r="AQ50" s="819">
        <v>0</v>
      </c>
      <c r="AR50" s="819">
        <v>0</v>
      </c>
      <c r="AS50" s="819">
        <v>0</v>
      </c>
      <c r="AT50" s="819">
        <v>0</v>
      </c>
      <c r="AU50" s="819">
        <f t="shared" si="0"/>
        <v>0</v>
      </c>
      <c r="AV50" s="819">
        <v>47649.29</v>
      </c>
      <c r="AW50" s="819">
        <v>99462.61</v>
      </c>
      <c r="AX50" s="820">
        <v>49</v>
      </c>
      <c r="AY50" s="820">
        <v>300</v>
      </c>
      <c r="AZ50" s="819">
        <v>299932.27</v>
      </c>
      <c r="BA50" s="819">
        <v>81900</v>
      </c>
      <c r="BB50" s="821">
        <v>90</v>
      </c>
      <c r="BC50" s="821">
        <v>85.362626373626398</v>
      </c>
      <c r="BD50" s="821">
        <v>10.11</v>
      </c>
      <c r="BE50" s="821"/>
      <c r="BF50" s="817" t="s">
        <v>815</v>
      </c>
      <c r="BG50" s="814"/>
      <c r="BH50" s="817" t="s">
        <v>540</v>
      </c>
      <c r="BI50" s="817" t="s">
        <v>849</v>
      </c>
      <c r="BJ50" s="817"/>
      <c r="BK50" s="817" t="s">
        <v>338</v>
      </c>
      <c r="BL50" s="815" t="s">
        <v>2</v>
      </c>
      <c r="BM50" s="821">
        <v>637624.07983655995</v>
      </c>
      <c r="BN50" s="815" t="s">
        <v>740</v>
      </c>
      <c r="BO50" s="821"/>
      <c r="BP50" s="822">
        <v>37894</v>
      </c>
      <c r="BQ50" s="822">
        <v>46997</v>
      </c>
      <c r="BR50" s="821">
        <v>39563.06</v>
      </c>
      <c r="BS50" s="821">
        <v>65</v>
      </c>
      <c r="BT50" s="821">
        <v>28.05</v>
      </c>
    </row>
    <row r="51" spans="1:72" s="802" customFormat="1" ht="18.2" customHeight="1" x14ac:dyDescent="0.15">
      <c r="A51" s="805">
        <v>49</v>
      </c>
      <c r="B51" s="806" t="s">
        <v>413</v>
      </c>
      <c r="C51" s="806" t="s">
        <v>25</v>
      </c>
      <c r="D51" s="807">
        <v>45505</v>
      </c>
      <c r="E51" s="808" t="s">
        <v>859</v>
      </c>
      <c r="F51" s="809">
        <v>0</v>
      </c>
      <c r="G51" s="809">
        <v>0</v>
      </c>
      <c r="H51" s="810">
        <v>16897.68</v>
      </c>
      <c r="I51" s="810">
        <v>0</v>
      </c>
      <c r="J51" s="810">
        <v>0</v>
      </c>
      <c r="K51" s="810">
        <v>16897.68</v>
      </c>
      <c r="L51" s="810">
        <v>267.57</v>
      </c>
      <c r="M51" s="810">
        <v>0</v>
      </c>
      <c r="N51" s="810">
        <v>0</v>
      </c>
      <c r="O51" s="810">
        <v>0</v>
      </c>
      <c r="P51" s="810">
        <v>267.57</v>
      </c>
      <c r="Q51" s="810">
        <v>0</v>
      </c>
      <c r="R51" s="810">
        <v>0</v>
      </c>
      <c r="S51" s="810">
        <v>16630.11</v>
      </c>
      <c r="T51" s="810">
        <v>0</v>
      </c>
      <c r="U51" s="810">
        <v>140.38999999999999</v>
      </c>
      <c r="V51" s="810">
        <v>0</v>
      </c>
      <c r="W51" s="810">
        <v>0</v>
      </c>
      <c r="X51" s="810">
        <v>140.38999999999999</v>
      </c>
      <c r="Y51" s="810">
        <v>0</v>
      </c>
      <c r="Z51" s="810">
        <v>0</v>
      </c>
      <c r="AA51" s="810">
        <v>0</v>
      </c>
      <c r="AB51" s="810">
        <v>65</v>
      </c>
      <c r="AC51" s="810">
        <v>0</v>
      </c>
      <c r="AD51" s="810">
        <v>0</v>
      </c>
      <c r="AE51" s="810">
        <v>0</v>
      </c>
      <c r="AF51" s="810">
        <v>0</v>
      </c>
      <c r="AG51" s="810">
        <v>0</v>
      </c>
      <c r="AH51" s="810">
        <v>25.05</v>
      </c>
      <c r="AI51" s="810">
        <v>28.48</v>
      </c>
      <c r="AJ51" s="810">
        <v>0</v>
      </c>
      <c r="AK51" s="810">
        <v>0</v>
      </c>
      <c r="AL51" s="810">
        <v>0</v>
      </c>
      <c r="AM51" s="810">
        <v>0</v>
      </c>
      <c r="AN51" s="810">
        <v>0</v>
      </c>
      <c r="AO51" s="810">
        <v>0</v>
      </c>
      <c r="AP51" s="810">
        <v>0</v>
      </c>
      <c r="AQ51" s="810">
        <v>0</v>
      </c>
      <c r="AR51" s="810">
        <v>0</v>
      </c>
      <c r="AS51" s="810">
        <v>4.2639999999999997E-2</v>
      </c>
      <c r="AT51" s="810">
        <v>0</v>
      </c>
      <c r="AU51" s="810">
        <f t="shared" si="0"/>
        <v>526.44736</v>
      </c>
      <c r="AV51" s="810">
        <v>0</v>
      </c>
      <c r="AW51" s="810">
        <v>0</v>
      </c>
      <c r="AX51" s="811">
        <v>50</v>
      </c>
      <c r="AY51" s="811">
        <v>300</v>
      </c>
      <c r="AZ51" s="810">
        <v>165366.70000000001</v>
      </c>
      <c r="BA51" s="810">
        <v>45000</v>
      </c>
      <c r="BB51" s="812">
        <v>90</v>
      </c>
      <c r="BC51" s="812">
        <v>33.260219999999997</v>
      </c>
      <c r="BD51" s="812">
        <v>9.9700000000000006</v>
      </c>
      <c r="BE51" s="812"/>
      <c r="BF51" s="808" t="s">
        <v>815</v>
      </c>
      <c r="BG51" s="805"/>
      <c r="BH51" s="808" t="s">
        <v>540</v>
      </c>
      <c r="BI51" s="808" t="s">
        <v>860</v>
      </c>
      <c r="BJ51" s="808" t="s">
        <v>861</v>
      </c>
      <c r="BK51" s="808" t="s">
        <v>309</v>
      </c>
      <c r="BL51" s="806" t="s">
        <v>2</v>
      </c>
      <c r="BM51" s="812">
        <v>136505.66363784001</v>
      </c>
      <c r="BN51" s="806" t="s">
        <v>740</v>
      </c>
      <c r="BO51" s="812"/>
      <c r="BP51" s="813">
        <v>37916</v>
      </c>
      <c r="BQ51" s="813">
        <v>47026</v>
      </c>
      <c r="BR51" s="812">
        <v>0</v>
      </c>
      <c r="BS51" s="812">
        <v>65</v>
      </c>
      <c r="BT51" s="812">
        <v>0</v>
      </c>
    </row>
    <row r="52" spans="1:72" s="802" customFormat="1" ht="18.2" customHeight="1" x14ac:dyDescent="0.15">
      <c r="A52" s="814">
        <v>50</v>
      </c>
      <c r="B52" s="815" t="s">
        <v>413</v>
      </c>
      <c r="C52" s="815" t="s">
        <v>25</v>
      </c>
      <c r="D52" s="816">
        <v>45505</v>
      </c>
      <c r="E52" s="817" t="s">
        <v>862</v>
      </c>
      <c r="F52" s="818">
        <v>0</v>
      </c>
      <c r="G52" s="818">
        <v>0</v>
      </c>
      <c r="H52" s="819">
        <v>47840.24</v>
      </c>
      <c r="I52" s="819">
        <v>0</v>
      </c>
      <c r="J52" s="819">
        <v>0</v>
      </c>
      <c r="K52" s="819">
        <v>47840.24</v>
      </c>
      <c r="L52" s="819">
        <v>775.62</v>
      </c>
      <c r="M52" s="819">
        <v>0</v>
      </c>
      <c r="N52" s="819">
        <v>0</v>
      </c>
      <c r="O52" s="819">
        <v>0</v>
      </c>
      <c r="P52" s="819">
        <v>775.62</v>
      </c>
      <c r="Q52" s="819">
        <v>0</v>
      </c>
      <c r="R52" s="819">
        <v>0</v>
      </c>
      <c r="S52" s="819">
        <v>47777.69</v>
      </c>
      <c r="T52" s="819">
        <v>0</v>
      </c>
      <c r="U52" s="819">
        <v>403.4</v>
      </c>
      <c r="V52" s="819">
        <v>0</v>
      </c>
      <c r="W52" s="819">
        <v>0</v>
      </c>
      <c r="X52" s="819">
        <v>403.4</v>
      </c>
      <c r="Y52" s="819">
        <v>0</v>
      </c>
      <c r="Z52" s="819">
        <v>0</v>
      </c>
      <c r="AA52" s="819">
        <v>0</v>
      </c>
      <c r="AB52" s="819">
        <v>71.17</v>
      </c>
      <c r="AC52" s="819">
        <v>84.5</v>
      </c>
      <c r="AD52" s="819">
        <v>0</v>
      </c>
      <c r="AE52" s="819">
        <v>0</v>
      </c>
      <c r="AF52" s="819">
        <v>0</v>
      </c>
      <c r="AG52" s="819">
        <v>0</v>
      </c>
      <c r="AH52" s="819">
        <v>66.569999999999993</v>
      </c>
      <c r="AI52" s="819">
        <v>81.59</v>
      </c>
      <c r="AJ52" s="819">
        <v>0</v>
      </c>
      <c r="AK52" s="819">
        <v>0</v>
      </c>
      <c r="AL52" s="819">
        <v>0</v>
      </c>
      <c r="AM52" s="819">
        <v>0</v>
      </c>
      <c r="AN52" s="819">
        <v>0</v>
      </c>
      <c r="AO52" s="819">
        <v>0</v>
      </c>
      <c r="AP52" s="819">
        <v>0</v>
      </c>
      <c r="AQ52" s="819">
        <v>5.0000000000000001E-3</v>
      </c>
      <c r="AR52" s="819">
        <v>0</v>
      </c>
      <c r="AS52" s="819">
        <v>0</v>
      </c>
      <c r="AT52" s="819">
        <v>25.71</v>
      </c>
      <c r="AU52" s="819">
        <f t="shared" si="0"/>
        <v>1457.145</v>
      </c>
      <c r="AV52" s="819">
        <v>0</v>
      </c>
      <c r="AW52" s="819">
        <v>0</v>
      </c>
      <c r="AX52" s="820">
        <v>49</v>
      </c>
      <c r="AY52" s="820">
        <v>300</v>
      </c>
      <c r="AZ52" s="819">
        <v>478450.34</v>
      </c>
      <c r="BA52" s="819">
        <v>130050</v>
      </c>
      <c r="BB52" s="821">
        <v>90</v>
      </c>
      <c r="BC52" s="821">
        <v>33.064145328719697</v>
      </c>
      <c r="BD52" s="821">
        <v>9.9700000000000006</v>
      </c>
      <c r="BE52" s="821"/>
      <c r="BF52" s="817" t="s">
        <v>815</v>
      </c>
      <c r="BG52" s="814"/>
      <c r="BH52" s="817" t="s">
        <v>816</v>
      </c>
      <c r="BI52" s="817" t="s">
        <v>820</v>
      </c>
      <c r="BJ52" s="817"/>
      <c r="BK52" s="817" t="s">
        <v>309</v>
      </c>
      <c r="BL52" s="815" t="s">
        <v>2</v>
      </c>
      <c r="BM52" s="821">
        <v>392175.71504535998</v>
      </c>
      <c r="BN52" s="815" t="s">
        <v>740</v>
      </c>
      <c r="BO52" s="821"/>
      <c r="BP52" s="822">
        <v>37925</v>
      </c>
      <c r="BQ52" s="822">
        <v>47026</v>
      </c>
      <c r="BR52" s="821">
        <v>0</v>
      </c>
      <c r="BS52" s="821">
        <v>71.17</v>
      </c>
      <c r="BT52" s="821">
        <v>84.5</v>
      </c>
    </row>
    <row r="53" spans="1:72" s="802" customFormat="1" ht="18.2" customHeight="1" x14ac:dyDescent="0.15">
      <c r="A53" s="805">
        <v>51</v>
      </c>
      <c r="B53" s="806" t="s">
        <v>413</v>
      </c>
      <c r="C53" s="806" t="s">
        <v>25</v>
      </c>
      <c r="D53" s="807">
        <v>45505</v>
      </c>
      <c r="E53" s="808" t="s">
        <v>863</v>
      </c>
      <c r="F53" s="809">
        <v>0</v>
      </c>
      <c r="G53" s="809">
        <v>0</v>
      </c>
      <c r="H53" s="810">
        <v>29628.880000000001</v>
      </c>
      <c r="I53" s="810">
        <v>0</v>
      </c>
      <c r="J53" s="810">
        <v>0</v>
      </c>
      <c r="K53" s="810">
        <v>29628.880000000001</v>
      </c>
      <c r="L53" s="810">
        <v>302.33999999999997</v>
      </c>
      <c r="M53" s="810">
        <v>0</v>
      </c>
      <c r="N53" s="810">
        <v>0</v>
      </c>
      <c r="O53" s="810">
        <v>0</v>
      </c>
      <c r="P53" s="810">
        <v>302.33999999999997</v>
      </c>
      <c r="Q53" s="810">
        <v>179.68</v>
      </c>
      <c r="R53" s="810">
        <v>0</v>
      </c>
      <c r="S53" s="810">
        <v>29146.86</v>
      </c>
      <c r="T53" s="810">
        <v>0</v>
      </c>
      <c r="U53" s="810">
        <v>191.42</v>
      </c>
      <c r="V53" s="810">
        <v>0</v>
      </c>
      <c r="W53" s="810">
        <v>0</v>
      </c>
      <c r="X53" s="810">
        <v>191.42</v>
      </c>
      <c r="Y53" s="810">
        <v>0</v>
      </c>
      <c r="Z53" s="810">
        <v>0</v>
      </c>
      <c r="AA53" s="810">
        <v>0</v>
      </c>
      <c r="AB53" s="810">
        <v>0</v>
      </c>
      <c r="AC53" s="810">
        <v>0</v>
      </c>
      <c r="AD53" s="810">
        <v>0</v>
      </c>
      <c r="AE53" s="810">
        <v>0</v>
      </c>
      <c r="AF53" s="810">
        <v>0</v>
      </c>
      <c r="AG53" s="810">
        <v>0</v>
      </c>
      <c r="AH53" s="810">
        <v>0</v>
      </c>
      <c r="AI53" s="810">
        <v>40.14</v>
      </c>
      <c r="AJ53" s="810">
        <v>0</v>
      </c>
      <c r="AK53" s="810">
        <v>0</v>
      </c>
      <c r="AL53" s="810">
        <v>0</v>
      </c>
      <c r="AM53" s="810">
        <v>0</v>
      </c>
      <c r="AN53" s="810">
        <v>0</v>
      </c>
      <c r="AO53" s="810">
        <v>0</v>
      </c>
      <c r="AP53" s="810">
        <v>0</v>
      </c>
      <c r="AQ53" s="810">
        <v>0</v>
      </c>
      <c r="AR53" s="810">
        <v>0</v>
      </c>
      <c r="AS53" s="810">
        <v>171.334194</v>
      </c>
      <c r="AT53" s="810">
        <v>0</v>
      </c>
      <c r="AU53" s="810">
        <f t="shared" si="0"/>
        <v>542.2458059999999</v>
      </c>
      <c r="AV53" s="810">
        <v>0</v>
      </c>
      <c r="AW53" s="810">
        <v>0</v>
      </c>
      <c r="AX53" s="811">
        <v>81</v>
      </c>
      <c r="AY53" s="811">
        <v>180</v>
      </c>
      <c r="AZ53" s="810">
        <v>71499.856362000006</v>
      </c>
      <c r="BA53" s="810">
        <v>52297.27</v>
      </c>
      <c r="BB53" s="812">
        <v>84</v>
      </c>
      <c r="BC53" s="812">
        <v>46.815756157061401</v>
      </c>
      <c r="BD53" s="812">
        <v>7.8</v>
      </c>
      <c r="BE53" s="812"/>
      <c r="BF53" s="808"/>
      <c r="BG53" s="805"/>
      <c r="BH53" s="808" t="s">
        <v>540</v>
      </c>
      <c r="BI53" s="808" t="s">
        <v>864</v>
      </c>
      <c r="BJ53" s="808" t="s">
        <v>865</v>
      </c>
      <c r="BK53" s="808" t="s">
        <v>309</v>
      </c>
      <c r="BL53" s="806" t="s">
        <v>2</v>
      </c>
      <c r="BM53" s="812">
        <v>239247.45339983999</v>
      </c>
      <c r="BN53" s="806" t="s">
        <v>740</v>
      </c>
      <c r="BO53" s="812"/>
      <c r="BP53" s="813">
        <v>42506</v>
      </c>
      <c r="BQ53" s="813">
        <v>47984</v>
      </c>
      <c r="BR53" s="812">
        <v>0</v>
      </c>
      <c r="BS53" s="812">
        <v>0</v>
      </c>
      <c r="BT53" s="812">
        <v>0</v>
      </c>
    </row>
    <row r="54" spans="1:72" s="802" customFormat="1" ht="18.2" customHeight="1" x14ac:dyDescent="0.15">
      <c r="A54" s="814">
        <v>52</v>
      </c>
      <c r="B54" s="815" t="s">
        <v>413</v>
      </c>
      <c r="C54" s="815" t="s">
        <v>25</v>
      </c>
      <c r="D54" s="816">
        <v>45505</v>
      </c>
      <c r="E54" s="817" t="s">
        <v>866</v>
      </c>
      <c r="F54" s="818">
        <v>20</v>
      </c>
      <c r="G54" s="818">
        <v>19</v>
      </c>
      <c r="H54" s="819">
        <v>26206.03</v>
      </c>
      <c r="I54" s="819">
        <v>18021.77</v>
      </c>
      <c r="J54" s="819">
        <v>0</v>
      </c>
      <c r="K54" s="819">
        <v>44227.8</v>
      </c>
      <c r="L54" s="819">
        <v>968.56</v>
      </c>
      <c r="M54" s="819">
        <v>0</v>
      </c>
      <c r="N54" s="819">
        <v>0</v>
      </c>
      <c r="O54" s="819">
        <v>0</v>
      </c>
      <c r="P54" s="819">
        <v>0</v>
      </c>
      <c r="Q54" s="819">
        <v>0</v>
      </c>
      <c r="R54" s="819">
        <v>0</v>
      </c>
      <c r="S54" s="819">
        <v>44227.8</v>
      </c>
      <c r="T54" s="819">
        <v>4385.13</v>
      </c>
      <c r="U54" s="819">
        <v>170.3</v>
      </c>
      <c r="V54" s="819">
        <v>0</v>
      </c>
      <c r="W54" s="819">
        <v>0</v>
      </c>
      <c r="X54" s="819">
        <v>0</v>
      </c>
      <c r="Y54" s="819">
        <v>0</v>
      </c>
      <c r="Z54" s="819">
        <v>0</v>
      </c>
      <c r="AA54" s="819">
        <v>4555.43</v>
      </c>
      <c r="AB54" s="819">
        <v>0</v>
      </c>
      <c r="AC54" s="819">
        <v>0</v>
      </c>
      <c r="AD54" s="819">
        <v>0</v>
      </c>
      <c r="AE54" s="819">
        <v>0</v>
      </c>
      <c r="AF54" s="819">
        <v>0</v>
      </c>
      <c r="AG54" s="819">
        <v>0</v>
      </c>
      <c r="AH54" s="819">
        <v>0</v>
      </c>
      <c r="AI54" s="819">
        <v>0</v>
      </c>
      <c r="AJ54" s="819">
        <v>0</v>
      </c>
      <c r="AK54" s="819">
        <v>0</v>
      </c>
      <c r="AL54" s="819">
        <v>0</v>
      </c>
      <c r="AM54" s="819">
        <v>0</v>
      </c>
      <c r="AN54" s="819">
        <v>0</v>
      </c>
      <c r="AO54" s="819">
        <v>0</v>
      </c>
      <c r="AP54" s="819">
        <v>0</v>
      </c>
      <c r="AQ54" s="819">
        <v>0</v>
      </c>
      <c r="AR54" s="819">
        <v>0</v>
      </c>
      <c r="AS54" s="819">
        <v>0</v>
      </c>
      <c r="AT54" s="819">
        <v>0</v>
      </c>
      <c r="AU54" s="819">
        <f t="shared" si="0"/>
        <v>0</v>
      </c>
      <c r="AV54" s="819">
        <v>18990.330000000002</v>
      </c>
      <c r="AW54" s="819">
        <v>4555.43</v>
      </c>
      <c r="AX54" s="820">
        <v>24</v>
      </c>
      <c r="AY54" s="820">
        <v>120</v>
      </c>
      <c r="AZ54" s="819">
        <v>646069</v>
      </c>
      <c r="BA54" s="819">
        <v>94689.33</v>
      </c>
      <c r="BB54" s="821">
        <v>0.55000000000000004</v>
      </c>
      <c r="BC54" s="821">
        <v>0.25689578751903702</v>
      </c>
      <c r="BD54" s="821">
        <v>7.8</v>
      </c>
      <c r="BE54" s="821"/>
      <c r="BF54" s="817"/>
      <c r="BG54" s="814"/>
      <c r="BH54" s="817" t="s">
        <v>816</v>
      </c>
      <c r="BI54" s="817" t="s">
        <v>201</v>
      </c>
      <c r="BJ54" s="817" t="s">
        <v>827</v>
      </c>
      <c r="BK54" s="817" t="s">
        <v>338</v>
      </c>
      <c r="BL54" s="815" t="s">
        <v>2</v>
      </c>
      <c r="BM54" s="821">
        <v>363036.99676319998</v>
      </c>
      <c r="BN54" s="815" t="s">
        <v>740</v>
      </c>
      <c r="BO54" s="821"/>
      <c r="BP54" s="822">
        <v>42606</v>
      </c>
      <c r="BQ54" s="822">
        <v>46258</v>
      </c>
      <c r="BR54" s="821">
        <v>2078.85</v>
      </c>
      <c r="BS54" s="821">
        <v>0</v>
      </c>
      <c r="BT54" s="821">
        <v>28.02</v>
      </c>
    </row>
    <row r="55" spans="1:72" s="802" customFormat="1" ht="18.2" customHeight="1" x14ac:dyDescent="0.15">
      <c r="A55" s="805">
        <v>53</v>
      </c>
      <c r="B55" s="806" t="s">
        <v>413</v>
      </c>
      <c r="C55" s="806" t="s">
        <v>25</v>
      </c>
      <c r="D55" s="807">
        <v>45505</v>
      </c>
      <c r="E55" s="808" t="s">
        <v>571</v>
      </c>
      <c r="F55" s="809">
        <v>41</v>
      </c>
      <c r="G55" s="809">
        <v>40</v>
      </c>
      <c r="H55" s="810">
        <v>32203.69</v>
      </c>
      <c r="I55" s="810">
        <v>33186.44</v>
      </c>
      <c r="J55" s="810">
        <v>0</v>
      </c>
      <c r="K55" s="810">
        <v>65390.13</v>
      </c>
      <c r="L55" s="810">
        <v>908.86</v>
      </c>
      <c r="M55" s="810">
        <v>0</v>
      </c>
      <c r="N55" s="810">
        <v>0</v>
      </c>
      <c r="O55" s="810">
        <v>0</v>
      </c>
      <c r="P55" s="810">
        <v>0</v>
      </c>
      <c r="Q55" s="810">
        <v>0</v>
      </c>
      <c r="R55" s="810">
        <v>0</v>
      </c>
      <c r="S55" s="810">
        <v>65390.13</v>
      </c>
      <c r="T55" s="810">
        <v>13230.82</v>
      </c>
      <c r="U55" s="810">
        <v>209.29</v>
      </c>
      <c r="V55" s="810">
        <v>0</v>
      </c>
      <c r="W55" s="810">
        <v>0</v>
      </c>
      <c r="X55" s="810">
        <v>0</v>
      </c>
      <c r="Y55" s="810">
        <v>0</v>
      </c>
      <c r="Z55" s="810">
        <v>0</v>
      </c>
      <c r="AA55" s="810">
        <v>13440.11</v>
      </c>
      <c r="AB55" s="810">
        <v>0</v>
      </c>
      <c r="AC55" s="810">
        <v>0</v>
      </c>
      <c r="AD55" s="810">
        <v>0</v>
      </c>
      <c r="AE55" s="810">
        <v>0</v>
      </c>
      <c r="AF55" s="810">
        <v>0</v>
      </c>
      <c r="AG55" s="810">
        <v>0</v>
      </c>
      <c r="AH55" s="810">
        <v>0</v>
      </c>
      <c r="AI55" s="810">
        <v>0</v>
      </c>
      <c r="AJ55" s="810">
        <v>0</v>
      </c>
      <c r="AK55" s="810">
        <v>0</v>
      </c>
      <c r="AL55" s="810">
        <v>0</v>
      </c>
      <c r="AM55" s="810">
        <v>0</v>
      </c>
      <c r="AN55" s="810">
        <v>0</v>
      </c>
      <c r="AO55" s="810">
        <v>0</v>
      </c>
      <c r="AP55" s="810">
        <v>0</v>
      </c>
      <c r="AQ55" s="810">
        <v>0</v>
      </c>
      <c r="AR55" s="810">
        <v>0</v>
      </c>
      <c r="AS55" s="810">
        <v>0</v>
      </c>
      <c r="AT55" s="810">
        <v>0</v>
      </c>
      <c r="AU55" s="810">
        <f t="shared" si="0"/>
        <v>0</v>
      </c>
      <c r="AV55" s="810">
        <v>34095.300000000003</v>
      </c>
      <c r="AW55" s="810">
        <v>13440.11</v>
      </c>
      <c r="AX55" s="811">
        <v>33</v>
      </c>
      <c r="AY55" s="811">
        <v>120</v>
      </c>
      <c r="AZ55" s="810">
        <v>505000</v>
      </c>
      <c r="BA55" s="810">
        <v>92967.18</v>
      </c>
      <c r="BB55" s="812">
        <v>0.89834700000000001</v>
      </c>
      <c r="BC55" s="812">
        <v>0.63186844126185204</v>
      </c>
      <c r="BD55" s="812">
        <v>7.8</v>
      </c>
      <c r="BE55" s="812"/>
      <c r="BF55" s="808"/>
      <c r="BG55" s="805"/>
      <c r="BH55" s="808" t="s">
        <v>833</v>
      </c>
      <c r="BI55" s="808" t="s">
        <v>201</v>
      </c>
      <c r="BJ55" s="808" t="s">
        <v>867</v>
      </c>
      <c r="BK55" s="808" t="s">
        <v>338</v>
      </c>
      <c r="BL55" s="806" t="s">
        <v>2</v>
      </c>
      <c r="BM55" s="812">
        <v>536744.68124472001</v>
      </c>
      <c r="BN55" s="806" t="s">
        <v>740</v>
      </c>
      <c r="BO55" s="812"/>
      <c r="BP55" s="813">
        <v>42808</v>
      </c>
      <c r="BQ55" s="813">
        <v>46460</v>
      </c>
      <c r="BR55" s="812">
        <v>3908.13</v>
      </c>
      <c r="BS55" s="812">
        <v>0</v>
      </c>
      <c r="BT55" s="812">
        <v>12.18</v>
      </c>
    </row>
    <row r="56" spans="1:72" s="802" customFormat="1" ht="18.2" customHeight="1" x14ac:dyDescent="0.15">
      <c r="A56" s="814">
        <v>54</v>
      </c>
      <c r="B56" s="815" t="s">
        <v>413</v>
      </c>
      <c r="C56" s="815" t="s">
        <v>25</v>
      </c>
      <c r="D56" s="816">
        <v>45505</v>
      </c>
      <c r="E56" s="817" t="s">
        <v>868</v>
      </c>
      <c r="F56" s="818">
        <v>0</v>
      </c>
      <c r="G56" s="818">
        <v>0</v>
      </c>
      <c r="H56" s="819">
        <v>19575.759999999998</v>
      </c>
      <c r="I56" s="819">
        <v>0</v>
      </c>
      <c r="J56" s="819">
        <v>0</v>
      </c>
      <c r="K56" s="819">
        <v>19575.759999999998</v>
      </c>
      <c r="L56" s="819">
        <v>672.51</v>
      </c>
      <c r="M56" s="819">
        <v>0</v>
      </c>
      <c r="N56" s="819">
        <v>0</v>
      </c>
      <c r="O56" s="819">
        <v>0</v>
      </c>
      <c r="P56" s="819">
        <v>672.51</v>
      </c>
      <c r="Q56" s="819">
        <v>0</v>
      </c>
      <c r="R56" s="819">
        <v>0</v>
      </c>
      <c r="S56" s="819">
        <v>18903.25</v>
      </c>
      <c r="T56" s="819">
        <v>0</v>
      </c>
      <c r="U56" s="819">
        <v>127.24</v>
      </c>
      <c r="V56" s="819">
        <v>0</v>
      </c>
      <c r="W56" s="819">
        <v>0</v>
      </c>
      <c r="X56" s="819">
        <v>127.24</v>
      </c>
      <c r="Y56" s="819">
        <v>0</v>
      </c>
      <c r="Z56" s="819">
        <v>0</v>
      </c>
      <c r="AA56" s="819">
        <v>0</v>
      </c>
      <c r="AB56" s="819">
        <v>0</v>
      </c>
      <c r="AC56" s="819">
        <v>0</v>
      </c>
      <c r="AD56" s="819">
        <v>0</v>
      </c>
      <c r="AE56" s="819">
        <v>0</v>
      </c>
      <c r="AF56" s="819">
        <v>0</v>
      </c>
      <c r="AG56" s="819">
        <v>0</v>
      </c>
      <c r="AH56" s="819">
        <v>0</v>
      </c>
      <c r="AI56" s="819">
        <v>45.2</v>
      </c>
      <c r="AJ56" s="819">
        <v>0</v>
      </c>
      <c r="AK56" s="819">
        <v>0</v>
      </c>
      <c r="AL56" s="819">
        <v>0</v>
      </c>
      <c r="AM56" s="819">
        <v>0</v>
      </c>
      <c r="AN56" s="819">
        <v>0</v>
      </c>
      <c r="AO56" s="819">
        <v>0</v>
      </c>
      <c r="AP56" s="819">
        <v>0</v>
      </c>
      <c r="AQ56" s="819">
        <v>6.3959999999999999</v>
      </c>
      <c r="AR56" s="819">
        <v>0</v>
      </c>
      <c r="AS56" s="819">
        <v>0</v>
      </c>
      <c r="AT56" s="819">
        <v>0</v>
      </c>
      <c r="AU56" s="819">
        <f t="shared" si="0"/>
        <v>851.346</v>
      </c>
      <c r="AV56" s="819">
        <v>0</v>
      </c>
      <c r="AW56" s="819">
        <v>0</v>
      </c>
      <c r="AX56" s="820">
        <v>33</v>
      </c>
      <c r="AY56" s="820">
        <v>120</v>
      </c>
      <c r="AZ56" s="819">
        <v>291235</v>
      </c>
      <c r="BA56" s="819">
        <v>66494.62</v>
      </c>
      <c r="BB56" s="821">
        <v>0.85000100000000001</v>
      </c>
      <c r="BC56" s="821">
        <v>0.24164032222832499</v>
      </c>
      <c r="BD56" s="821">
        <v>7.8</v>
      </c>
      <c r="BE56" s="821"/>
      <c r="BF56" s="817"/>
      <c r="BG56" s="814"/>
      <c r="BH56" s="817" t="s">
        <v>823</v>
      </c>
      <c r="BI56" s="817" t="s">
        <v>201</v>
      </c>
      <c r="BJ56" s="817" t="s">
        <v>869</v>
      </c>
      <c r="BK56" s="817" t="s">
        <v>309</v>
      </c>
      <c r="BL56" s="815" t="s">
        <v>2</v>
      </c>
      <c r="BM56" s="821">
        <v>155164.37871799999</v>
      </c>
      <c r="BN56" s="815" t="s">
        <v>740</v>
      </c>
      <c r="BO56" s="821"/>
      <c r="BP56" s="822">
        <v>42809</v>
      </c>
      <c r="BQ56" s="822">
        <v>46461</v>
      </c>
      <c r="BR56" s="821">
        <v>0</v>
      </c>
      <c r="BS56" s="821">
        <v>0</v>
      </c>
      <c r="BT56" s="821">
        <v>0</v>
      </c>
    </row>
    <row r="57" spans="1:72" s="802" customFormat="1" ht="18.2" customHeight="1" x14ac:dyDescent="0.15">
      <c r="A57" s="805">
        <v>55</v>
      </c>
      <c r="B57" s="806" t="s">
        <v>413</v>
      </c>
      <c r="C57" s="806" t="s">
        <v>25</v>
      </c>
      <c r="D57" s="807">
        <v>45505</v>
      </c>
      <c r="E57" s="808" t="s">
        <v>870</v>
      </c>
      <c r="F57" s="809">
        <v>0</v>
      </c>
      <c r="G57" s="809">
        <v>0</v>
      </c>
      <c r="H57" s="810">
        <v>19521.759999999998</v>
      </c>
      <c r="I57" s="810">
        <v>0</v>
      </c>
      <c r="J57" s="810">
        <v>0</v>
      </c>
      <c r="K57" s="810">
        <v>19521.759999999998</v>
      </c>
      <c r="L57" s="810">
        <v>393.74</v>
      </c>
      <c r="M57" s="810">
        <v>0</v>
      </c>
      <c r="N57" s="810">
        <v>0</v>
      </c>
      <c r="O57" s="810">
        <v>0</v>
      </c>
      <c r="P57" s="810">
        <v>393.74</v>
      </c>
      <c r="Q57" s="810">
        <v>1217.9000000000001</v>
      </c>
      <c r="R57" s="810">
        <v>0</v>
      </c>
      <c r="S57" s="810">
        <v>17910.12</v>
      </c>
      <c r="T57" s="810">
        <v>0</v>
      </c>
      <c r="U57" s="810">
        <v>154.06</v>
      </c>
      <c r="V57" s="810">
        <v>0</v>
      </c>
      <c r="W57" s="810">
        <v>0</v>
      </c>
      <c r="X57" s="810">
        <v>154.06</v>
      </c>
      <c r="Y57" s="810">
        <v>0</v>
      </c>
      <c r="Z57" s="810">
        <v>0</v>
      </c>
      <c r="AA57" s="810">
        <v>0</v>
      </c>
      <c r="AB57" s="810">
        <v>65</v>
      </c>
      <c r="AC57" s="810">
        <v>0</v>
      </c>
      <c r="AD57" s="810">
        <v>0</v>
      </c>
      <c r="AE57" s="810">
        <v>0</v>
      </c>
      <c r="AF57" s="810">
        <v>0</v>
      </c>
      <c r="AG57" s="810">
        <v>0</v>
      </c>
      <c r="AH57" s="810">
        <v>73.42</v>
      </c>
      <c r="AI57" s="810">
        <v>72.02</v>
      </c>
      <c r="AJ57" s="810">
        <v>0</v>
      </c>
      <c r="AK57" s="810">
        <v>0</v>
      </c>
      <c r="AL57" s="810">
        <v>0</v>
      </c>
      <c r="AM57" s="810">
        <v>0</v>
      </c>
      <c r="AN57" s="810">
        <v>0</v>
      </c>
      <c r="AO57" s="810">
        <v>0</v>
      </c>
      <c r="AP57" s="810">
        <v>0</v>
      </c>
      <c r="AQ57" s="810">
        <v>3.6520000000000001</v>
      </c>
      <c r="AR57" s="810">
        <v>0</v>
      </c>
      <c r="AS57" s="810">
        <v>0</v>
      </c>
      <c r="AT57" s="810">
        <v>0</v>
      </c>
      <c r="AU57" s="810">
        <f t="shared" si="0"/>
        <v>1979.7920000000001</v>
      </c>
      <c r="AV57" s="810">
        <v>0</v>
      </c>
      <c r="AW57" s="810">
        <v>0</v>
      </c>
      <c r="AX57" s="811">
        <v>60</v>
      </c>
      <c r="AY57" s="811">
        <v>360</v>
      </c>
      <c r="AZ57" s="810">
        <v>227234.13</v>
      </c>
      <c r="BA57" s="810">
        <v>61900</v>
      </c>
      <c r="BB57" s="812">
        <v>70.34</v>
      </c>
      <c r="BC57" s="812">
        <v>20.352146054927299</v>
      </c>
      <c r="BD57" s="812">
        <v>10.1</v>
      </c>
      <c r="BE57" s="812"/>
      <c r="BF57" s="808" t="s">
        <v>815</v>
      </c>
      <c r="BG57" s="805"/>
      <c r="BH57" s="808" t="s">
        <v>821</v>
      </c>
      <c r="BI57" s="808" t="s">
        <v>836</v>
      </c>
      <c r="BJ57" s="808"/>
      <c r="BK57" s="808" t="s">
        <v>309</v>
      </c>
      <c r="BL57" s="806" t="s">
        <v>2</v>
      </c>
      <c r="BM57" s="812">
        <v>147012.42604128001</v>
      </c>
      <c r="BN57" s="806" t="s">
        <v>740</v>
      </c>
      <c r="BO57" s="812"/>
      <c r="BP57" s="813">
        <v>36390</v>
      </c>
      <c r="BQ57" s="813">
        <v>47331</v>
      </c>
      <c r="BR57" s="812">
        <v>0</v>
      </c>
      <c r="BS57" s="812">
        <v>65</v>
      </c>
      <c r="BT57" s="812">
        <v>0</v>
      </c>
    </row>
    <row r="58" spans="1:72" s="802" customFormat="1" ht="18.2" customHeight="1" x14ac:dyDescent="0.15">
      <c r="A58" s="814">
        <v>56</v>
      </c>
      <c r="B58" s="815" t="s">
        <v>413</v>
      </c>
      <c r="C58" s="815" t="s">
        <v>25</v>
      </c>
      <c r="D58" s="816">
        <v>45505</v>
      </c>
      <c r="E58" s="817" t="s">
        <v>871</v>
      </c>
      <c r="F58" s="818">
        <v>0</v>
      </c>
      <c r="G58" s="818">
        <v>1</v>
      </c>
      <c r="H58" s="819">
        <v>36568.11</v>
      </c>
      <c r="I58" s="819">
        <v>440.56</v>
      </c>
      <c r="J58" s="819">
        <v>0</v>
      </c>
      <c r="K58" s="819">
        <v>37008.67</v>
      </c>
      <c r="L58" s="819">
        <v>444.3</v>
      </c>
      <c r="M58" s="819">
        <v>0</v>
      </c>
      <c r="N58" s="819">
        <v>0</v>
      </c>
      <c r="O58" s="819">
        <v>884.86</v>
      </c>
      <c r="P58" s="819">
        <v>0</v>
      </c>
      <c r="Q58" s="819">
        <v>0</v>
      </c>
      <c r="R58" s="819">
        <v>0</v>
      </c>
      <c r="S58" s="819">
        <v>36123.81</v>
      </c>
      <c r="T58" s="819">
        <v>314.57</v>
      </c>
      <c r="U58" s="819">
        <v>310.83</v>
      </c>
      <c r="V58" s="819">
        <v>0</v>
      </c>
      <c r="W58" s="819">
        <v>314.57</v>
      </c>
      <c r="X58" s="819">
        <v>310.83</v>
      </c>
      <c r="Y58" s="819">
        <v>0</v>
      </c>
      <c r="Z58" s="819">
        <v>0</v>
      </c>
      <c r="AA58" s="819">
        <v>0</v>
      </c>
      <c r="AB58" s="819">
        <v>65</v>
      </c>
      <c r="AC58" s="819">
        <v>0</v>
      </c>
      <c r="AD58" s="819">
        <v>0</v>
      </c>
      <c r="AE58" s="819">
        <v>0</v>
      </c>
      <c r="AF58" s="819">
        <v>0</v>
      </c>
      <c r="AG58" s="819">
        <v>0</v>
      </c>
      <c r="AH58" s="819">
        <v>97.09</v>
      </c>
      <c r="AI58" s="819">
        <v>111.07</v>
      </c>
      <c r="AJ58" s="819">
        <v>65</v>
      </c>
      <c r="AK58" s="819">
        <v>0</v>
      </c>
      <c r="AL58" s="819">
        <v>0</v>
      </c>
      <c r="AM58" s="819">
        <v>0</v>
      </c>
      <c r="AN58" s="819">
        <v>0</v>
      </c>
      <c r="AO58" s="819">
        <v>97.09</v>
      </c>
      <c r="AP58" s="819">
        <v>56.92</v>
      </c>
      <c r="AQ58" s="819">
        <v>1.413</v>
      </c>
      <c r="AR58" s="819">
        <v>0</v>
      </c>
      <c r="AS58" s="819">
        <v>0</v>
      </c>
      <c r="AT58" s="819">
        <v>0</v>
      </c>
      <c r="AU58" s="819">
        <f t="shared" si="0"/>
        <v>2003.8429999999998</v>
      </c>
      <c r="AV58" s="819">
        <v>0</v>
      </c>
      <c r="AW58" s="819">
        <v>0</v>
      </c>
      <c r="AX58" s="820">
        <v>61</v>
      </c>
      <c r="AY58" s="820">
        <v>360</v>
      </c>
      <c r="AZ58" s="819">
        <v>270543</v>
      </c>
      <c r="BA58" s="819">
        <v>84619</v>
      </c>
      <c r="BB58" s="821">
        <v>81.760000000000005</v>
      </c>
      <c r="BC58" s="821">
        <v>34.903304288634899</v>
      </c>
      <c r="BD58" s="821">
        <v>10.199999999999999</v>
      </c>
      <c r="BE58" s="821"/>
      <c r="BF58" s="817" t="s">
        <v>815</v>
      </c>
      <c r="BG58" s="814"/>
      <c r="BH58" s="817" t="s">
        <v>823</v>
      </c>
      <c r="BI58" s="817" t="s">
        <v>858</v>
      </c>
      <c r="BJ58" s="817"/>
      <c r="BK58" s="817" t="s">
        <v>309</v>
      </c>
      <c r="BL58" s="815" t="s">
        <v>2</v>
      </c>
      <c r="BM58" s="821">
        <v>296516.65907063999</v>
      </c>
      <c r="BN58" s="815" t="s">
        <v>740</v>
      </c>
      <c r="BO58" s="821"/>
      <c r="BP58" s="822">
        <v>36440</v>
      </c>
      <c r="BQ58" s="822">
        <v>47391</v>
      </c>
      <c r="BR58" s="821">
        <v>0</v>
      </c>
      <c r="BS58" s="821">
        <v>65</v>
      </c>
      <c r="BT58" s="821">
        <v>0</v>
      </c>
    </row>
    <row r="59" spans="1:72" s="802" customFormat="1" ht="18.2" customHeight="1" x14ac:dyDescent="0.15">
      <c r="A59" s="805">
        <v>57</v>
      </c>
      <c r="B59" s="806" t="s">
        <v>413</v>
      </c>
      <c r="C59" s="806" t="s">
        <v>25</v>
      </c>
      <c r="D59" s="807">
        <v>45505</v>
      </c>
      <c r="E59" s="808" t="s">
        <v>872</v>
      </c>
      <c r="F59" s="809">
        <v>0</v>
      </c>
      <c r="G59" s="809">
        <v>0</v>
      </c>
      <c r="H59" s="810">
        <v>36658.28</v>
      </c>
      <c r="I59" s="810">
        <v>0</v>
      </c>
      <c r="J59" s="810">
        <v>0</v>
      </c>
      <c r="K59" s="810">
        <v>36658.28</v>
      </c>
      <c r="L59" s="810">
        <v>479.85</v>
      </c>
      <c r="M59" s="810">
        <v>0</v>
      </c>
      <c r="N59" s="810">
        <v>0</v>
      </c>
      <c r="O59" s="810">
        <v>0</v>
      </c>
      <c r="P59" s="810">
        <v>479.85</v>
      </c>
      <c r="Q59" s="810">
        <v>0</v>
      </c>
      <c r="R59" s="810">
        <v>0</v>
      </c>
      <c r="S59" s="810">
        <v>36178.43</v>
      </c>
      <c r="T59" s="810">
        <v>0</v>
      </c>
      <c r="U59" s="810">
        <v>311.60000000000002</v>
      </c>
      <c r="V59" s="810">
        <v>0</v>
      </c>
      <c r="W59" s="810">
        <v>0</v>
      </c>
      <c r="X59" s="810">
        <v>311.60000000000002</v>
      </c>
      <c r="Y59" s="810">
        <v>0</v>
      </c>
      <c r="Z59" s="810">
        <v>0</v>
      </c>
      <c r="AA59" s="810">
        <v>0</v>
      </c>
      <c r="AB59" s="810">
        <v>65</v>
      </c>
      <c r="AC59" s="810">
        <v>0</v>
      </c>
      <c r="AD59" s="810">
        <v>0</v>
      </c>
      <c r="AE59" s="810">
        <v>0</v>
      </c>
      <c r="AF59" s="810">
        <v>0</v>
      </c>
      <c r="AG59" s="810">
        <v>0</v>
      </c>
      <c r="AH59" s="810">
        <v>101.08</v>
      </c>
      <c r="AI59" s="810">
        <v>83.63</v>
      </c>
      <c r="AJ59" s="810">
        <v>0</v>
      </c>
      <c r="AK59" s="810">
        <v>0</v>
      </c>
      <c r="AL59" s="810">
        <v>0</v>
      </c>
      <c r="AM59" s="810">
        <v>0</v>
      </c>
      <c r="AN59" s="810">
        <v>0</v>
      </c>
      <c r="AO59" s="810">
        <v>0</v>
      </c>
      <c r="AP59" s="810">
        <v>0</v>
      </c>
      <c r="AQ59" s="810">
        <v>0</v>
      </c>
      <c r="AR59" s="810">
        <v>0</v>
      </c>
      <c r="AS59" s="810">
        <v>3.7766000000000001E-2</v>
      </c>
      <c r="AT59" s="810">
        <v>0</v>
      </c>
      <c r="AU59" s="810">
        <f t="shared" si="0"/>
        <v>1041.1222339999999</v>
      </c>
      <c r="AV59" s="810">
        <v>0</v>
      </c>
      <c r="AW59" s="810">
        <v>0</v>
      </c>
      <c r="AX59" s="811">
        <v>61</v>
      </c>
      <c r="AY59" s="811">
        <v>360</v>
      </c>
      <c r="AZ59" s="810">
        <v>274203</v>
      </c>
      <c r="BA59" s="810">
        <v>88689</v>
      </c>
      <c r="BB59" s="812">
        <v>85</v>
      </c>
      <c r="BC59" s="812">
        <v>34.673595936361899</v>
      </c>
      <c r="BD59" s="812">
        <v>10.199999999999999</v>
      </c>
      <c r="BE59" s="812"/>
      <c r="BF59" s="808" t="s">
        <v>815</v>
      </c>
      <c r="BG59" s="805"/>
      <c r="BH59" s="808" t="s">
        <v>823</v>
      </c>
      <c r="BI59" s="808" t="s">
        <v>873</v>
      </c>
      <c r="BJ59" s="808"/>
      <c r="BK59" s="808" t="s">
        <v>309</v>
      </c>
      <c r="BL59" s="806" t="s">
        <v>2</v>
      </c>
      <c r="BM59" s="812">
        <v>296964.99881992</v>
      </c>
      <c r="BN59" s="806" t="s">
        <v>740</v>
      </c>
      <c r="BO59" s="812"/>
      <c r="BP59" s="813">
        <v>36462</v>
      </c>
      <c r="BQ59" s="813">
        <v>47391</v>
      </c>
      <c r="BR59" s="812">
        <v>0</v>
      </c>
      <c r="BS59" s="812">
        <v>65</v>
      </c>
      <c r="BT59" s="812">
        <v>0</v>
      </c>
    </row>
    <row r="60" spans="1:72" s="802" customFormat="1" ht="18.2" customHeight="1" x14ac:dyDescent="0.15">
      <c r="A60" s="814">
        <v>58</v>
      </c>
      <c r="B60" s="815" t="s">
        <v>413</v>
      </c>
      <c r="C60" s="815" t="s">
        <v>25</v>
      </c>
      <c r="D60" s="816">
        <v>45505</v>
      </c>
      <c r="E60" s="817" t="s">
        <v>874</v>
      </c>
      <c r="F60" s="818">
        <v>0</v>
      </c>
      <c r="G60" s="818">
        <v>1</v>
      </c>
      <c r="H60" s="819">
        <v>37534.83</v>
      </c>
      <c r="I60" s="819">
        <v>453.21</v>
      </c>
      <c r="J60" s="819">
        <v>0</v>
      </c>
      <c r="K60" s="819">
        <v>37988.04</v>
      </c>
      <c r="L60" s="819">
        <v>457.06</v>
      </c>
      <c r="M60" s="819">
        <v>0</v>
      </c>
      <c r="N60" s="819">
        <v>0</v>
      </c>
      <c r="O60" s="819">
        <v>0</v>
      </c>
      <c r="P60" s="819">
        <v>910.27</v>
      </c>
      <c r="Q60" s="819">
        <v>0</v>
      </c>
      <c r="R60" s="819">
        <v>0</v>
      </c>
      <c r="S60" s="819">
        <v>37497.339999999997</v>
      </c>
      <c r="T60" s="819">
        <v>326.45999999999998</v>
      </c>
      <c r="U60" s="819">
        <v>322.61</v>
      </c>
      <c r="V60" s="819">
        <v>0</v>
      </c>
      <c r="W60" s="819">
        <v>326.45999999999998</v>
      </c>
      <c r="X60" s="819">
        <v>322.61</v>
      </c>
      <c r="Y60" s="819">
        <v>0</v>
      </c>
      <c r="Z60" s="819">
        <v>0</v>
      </c>
      <c r="AA60" s="819">
        <v>0</v>
      </c>
      <c r="AB60" s="819">
        <v>65</v>
      </c>
      <c r="AC60" s="819">
        <v>0</v>
      </c>
      <c r="AD60" s="819">
        <v>0</v>
      </c>
      <c r="AE60" s="819">
        <v>0</v>
      </c>
      <c r="AF60" s="819">
        <v>0</v>
      </c>
      <c r="AG60" s="819">
        <v>0</v>
      </c>
      <c r="AH60" s="819">
        <v>99.79</v>
      </c>
      <c r="AI60" s="819">
        <v>83.45</v>
      </c>
      <c r="AJ60" s="819">
        <v>65</v>
      </c>
      <c r="AK60" s="819">
        <v>0</v>
      </c>
      <c r="AL60" s="819">
        <v>0</v>
      </c>
      <c r="AM60" s="819">
        <v>0</v>
      </c>
      <c r="AN60" s="819">
        <v>0</v>
      </c>
      <c r="AO60" s="819">
        <v>99.79</v>
      </c>
      <c r="AP60" s="819">
        <v>83.37</v>
      </c>
      <c r="AQ60" s="819">
        <v>4.9359999999999999</v>
      </c>
      <c r="AR60" s="819">
        <v>0</v>
      </c>
      <c r="AS60" s="819">
        <v>0</v>
      </c>
      <c r="AT60" s="819">
        <v>0</v>
      </c>
      <c r="AU60" s="819">
        <f t="shared" si="0"/>
        <v>2060.6759999999999</v>
      </c>
      <c r="AV60" s="819">
        <v>0</v>
      </c>
      <c r="AW60" s="819">
        <v>0</v>
      </c>
      <c r="AX60" s="820">
        <v>63</v>
      </c>
      <c r="AY60" s="820">
        <v>360</v>
      </c>
      <c r="AZ60" s="819">
        <v>274813</v>
      </c>
      <c r="BA60" s="819">
        <v>87369</v>
      </c>
      <c r="BB60" s="821">
        <v>84.24</v>
      </c>
      <c r="BC60" s="821">
        <v>36.154424585379303</v>
      </c>
      <c r="BD60" s="821">
        <v>10.199999999999999</v>
      </c>
      <c r="BE60" s="821"/>
      <c r="BF60" s="817" t="s">
        <v>815</v>
      </c>
      <c r="BG60" s="814"/>
      <c r="BH60" s="817" t="s">
        <v>823</v>
      </c>
      <c r="BI60" s="817" t="s">
        <v>873</v>
      </c>
      <c r="BJ60" s="817"/>
      <c r="BK60" s="817" t="s">
        <v>309</v>
      </c>
      <c r="BL60" s="815" t="s">
        <v>2</v>
      </c>
      <c r="BM60" s="821">
        <v>307791.06580495997</v>
      </c>
      <c r="BN60" s="815" t="s">
        <v>740</v>
      </c>
      <c r="BO60" s="821"/>
      <c r="BP60" s="822">
        <v>36497</v>
      </c>
      <c r="BQ60" s="822">
        <v>47452</v>
      </c>
      <c r="BR60" s="821">
        <v>0</v>
      </c>
      <c r="BS60" s="821">
        <v>65</v>
      </c>
      <c r="BT60" s="821">
        <v>0</v>
      </c>
    </row>
    <row r="61" spans="1:72" s="802" customFormat="1" ht="18.2" customHeight="1" x14ac:dyDescent="0.15">
      <c r="A61" s="805">
        <v>59</v>
      </c>
      <c r="B61" s="806" t="s">
        <v>413</v>
      </c>
      <c r="C61" s="806" t="s">
        <v>25</v>
      </c>
      <c r="D61" s="807">
        <v>45505</v>
      </c>
      <c r="E61" s="808" t="s">
        <v>875</v>
      </c>
      <c r="F61" s="809">
        <v>0</v>
      </c>
      <c r="G61" s="809">
        <v>0</v>
      </c>
      <c r="H61" s="810">
        <v>34645.64</v>
      </c>
      <c r="I61" s="810">
        <v>0</v>
      </c>
      <c r="J61" s="810">
        <v>0</v>
      </c>
      <c r="K61" s="810">
        <v>34645.64</v>
      </c>
      <c r="L61" s="810">
        <v>409.3</v>
      </c>
      <c r="M61" s="810">
        <v>0</v>
      </c>
      <c r="N61" s="810">
        <v>0</v>
      </c>
      <c r="O61" s="810">
        <v>0</v>
      </c>
      <c r="P61" s="810">
        <v>409.3</v>
      </c>
      <c r="Q61" s="810">
        <v>0</v>
      </c>
      <c r="R61" s="810">
        <v>0</v>
      </c>
      <c r="S61" s="810">
        <v>34236.339999999997</v>
      </c>
      <c r="T61" s="810">
        <v>0</v>
      </c>
      <c r="U61" s="810">
        <v>291.60000000000002</v>
      </c>
      <c r="V61" s="810">
        <v>0</v>
      </c>
      <c r="W61" s="810">
        <v>0</v>
      </c>
      <c r="X61" s="810">
        <v>291.60000000000002</v>
      </c>
      <c r="Y61" s="810">
        <v>0</v>
      </c>
      <c r="Z61" s="810">
        <v>0</v>
      </c>
      <c r="AA61" s="810">
        <v>0</v>
      </c>
      <c r="AB61" s="810">
        <v>65</v>
      </c>
      <c r="AC61" s="810">
        <v>0</v>
      </c>
      <c r="AD61" s="810">
        <v>0</v>
      </c>
      <c r="AE61" s="810">
        <v>0</v>
      </c>
      <c r="AF61" s="810">
        <v>0</v>
      </c>
      <c r="AG61" s="810">
        <v>0</v>
      </c>
      <c r="AH61" s="810">
        <v>90.3</v>
      </c>
      <c r="AI61" s="810">
        <v>72.290000000000006</v>
      </c>
      <c r="AJ61" s="810">
        <v>0</v>
      </c>
      <c r="AK61" s="810">
        <v>0</v>
      </c>
      <c r="AL61" s="810">
        <v>0</v>
      </c>
      <c r="AM61" s="810">
        <v>0</v>
      </c>
      <c r="AN61" s="810">
        <v>0</v>
      </c>
      <c r="AO61" s="810">
        <v>0</v>
      </c>
      <c r="AP61" s="810">
        <v>0.04</v>
      </c>
      <c r="AQ61" s="810">
        <v>0</v>
      </c>
      <c r="AR61" s="810">
        <v>0</v>
      </c>
      <c r="AS61" s="810">
        <v>2.5583999999999999E-2</v>
      </c>
      <c r="AT61" s="810">
        <v>0</v>
      </c>
      <c r="AU61" s="810">
        <f t="shared" si="0"/>
        <v>928.50441599999999</v>
      </c>
      <c r="AV61" s="810">
        <v>0</v>
      </c>
      <c r="AW61" s="810">
        <v>0</v>
      </c>
      <c r="AX61" s="811">
        <v>63</v>
      </c>
      <c r="AY61" s="811">
        <v>360</v>
      </c>
      <c r="AZ61" s="810">
        <v>234199.67999999999</v>
      </c>
      <c r="BA61" s="810">
        <v>79200</v>
      </c>
      <c r="BB61" s="812">
        <v>90</v>
      </c>
      <c r="BC61" s="812">
        <v>38.904931818181801</v>
      </c>
      <c r="BD61" s="812">
        <v>10.1</v>
      </c>
      <c r="BE61" s="812"/>
      <c r="BF61" s="808" t="s">
        <v>815</v>
      </c>
      <c r="BG61" s="805"/>
      <c r="BH61" s="808" t="s">
        <v>821</v>
      </c>
      <c r="BI61" s="808" t="s">
        <v>836</v>
      </c>
      <c r="BJ61" s="808"/>
      <c r="BK61" s="808" t="s">
        <v>309</v>
      </c>
      <c r="BL61" s="806" t="s">
        <v>2</v>
      </c>
      <c r="BM61" s="812">
        <v>281023.65602096001</v>
      </c>
      <c r="BN61" s="806" t="s">
        <v>740</v>
      </c>
      <c r="BO61" s="812"/>
      <c r="BP61" s="813">
        <v>36511</v>
      </c>
      <c r="BQ61" s="813">
        <v>47452</v>
      </c>
      <c r="BR61" s="812">
        <v>0</v>
      </c>
      <c r="BS61" s="812">
        <v>65</v>
      </c>
      <c r="BT61" s="812">
        <v>0</v>
      </c>
    </row>
    <row r="62" spans="1:72" s="802" customFormat="1" ht="18.2" customHeight="1" x14ac:dyDescent="0.15">
      <c r="A62" s="814">
        <v>60</v>
      </c>
      <c r="B62" s="815" t="s">
        <v>413</v>
      </c>
      <c r="C62" s="815" t="s">
        <v>25</v>
      </c>
      <c r="D62" s="816">
        <v>45505</v>
      </c>
      <c r="E62" s="817" t="s">
        <v>572</v>
      </c>
      <c r="F62" s="818">
        <v>100</v>
      </c>
      <c r="G62" s="818">
        <v>99</v>
      </c>
      <c r="H62" s="819">
        <v>34977.379999999997</v>
      </c>
      <c r="I62" s="819">
        <v>27173.56</v>
      </c>
      <c r="J62" s="819">
        <v>0</v>
      </c>
      <c r="K62" s="819">
        <v>62150.94</v>
      </c>
      <c r="L62" s="819">
        <v>406.53</v>
      </c>
      <c r="M62" s="819">
        <v>0</v>
      </c>
      <c r="N62" s="819">
        <v>0</v>
      </c>
      <c r="O62" s="819">
        <v>0</v>
      </c>
      <c r="P62" s="819">
        <v>0</v>
      </c>
      <c r="Q62" s="819">
        <v>0</v>
      </c>
      <c r="R62" s="819">
        <v>0</v>
      </c>
      <c r="S62" s="819">
        <v>62150.94</v>
      </c>
      <c r="T62" s="819">
        <v>41634.21</v>
      </c>
      <c r="U62" s="819">
        <v>294.37</v>
      </c>
      <c r="V62" s="819">
        <v>0</v>
      </c>
      <c r="W62" s="819">
        <v>0</v>
      </c>
      <c r="X62" s="819">
        <v>0</v>
      </c>
      <c r="Y62" s="819">
        <v>0</v>
      </c>
      <c r="Z62" s="819">
        <v>0</v>
      </c>
      <c r="AA62" s="819">
        <v>41928.58</v>
      </c>
      <c r="AB62" s="819">
        <v>0</v>
      </c>
      <c r="AC62" s="819">
        <v>0</v>
      </c>
      <c r="AD62" s="819">
        <v>0</v>
      </c>
      <c r="AE62" s="819">
        <v>0</v>
      </c>
      <c r="AF62" s="819">
        <v>0</v>
      </c>
      <c r="AG62" s="819">
        <v>0</v>
      </c>
      <c r="AH62" s="819">
        <v>0</v>
      </c>
      <c r="AI62" s="819">
        <v>0</v>
      </c>
      <c r="AJ62" s="819">
        <v>0</v>
      </c>
      <c r="AK62" s="819">
        <v>0</v>
      </c>
      <c r="AL62" s="819">
        <v>0</v>
      </c>
      <c r="AM62" s="819">
        <v>0</v>
      </c>
      <c r="AN62" s="819">
        <v>0</v>
      </c>
      <c r="AO62" s="819">
        <v>0</v>
      </c>
      <c r="AP62" s="819">
        <v>0</v>
      </c>
      <c r="AQ62" s="819">
        <v>0</v>
      </c>
      <c r="AR62" s="819">
        <v>0</v>
      </c>
      <c r="AS62" s="819">
        <v>0</v>
      </c>
      <c r="AT62" s="819">
        <v>0</v>
      </c>
      <c r="AU62" s="819">
        <f t="shared" si="0"/>
        <v>0</v>
      </c>
      <c r="AV62" s="819">
        <v>27580.09</v>
      </c>
      <c r="AW62" s="819">
        <v>41928.58</v>
      </c>
      <c r="AX62" s="820">
        <v>63</v>
      </c>
      <c r="AY62" s="820">
        <v>360</v>
      </c>
      <c r="AZ62" s="819">
        <v>234199.67999999999</v>
      </c>
      <c r="BA62" s="819">
        <v>79200</v>
      </c>
      <c r="BB62" s="821">
        <v>90</v>
      </c>
      <c r="BC62" s="821">
        <v>70.626068181818198</v>
      </c>
      <c r="BD62" s="821">
        <v>10.1</v>
      </c>
      <c r="BE62" s="821"/>
      <c r="BF62" s="817" t="s">
        <v>815</v>
      </c>
      <c r="BG62" s="814"/>
      <c r="BH62" s="817" t="s">
        <v>821</v>
      </c>
      <c r="BI62" s="817" t="s">
        <v>836</v>
      </c>
      <c r="BJ62" s="817"/>
      <c r="BK62" s="817" t="s">
        <v>338</v>
      </c>
      <c r="BL62" s="815" t="s">
        <v>2</v>
      </c>
      <c r="BM62" s="821">
        <v>510156.29544336</v>
      </c>
      <c r="BN62" s="815" t="s">
        <v>740</v>
      </c>
      <c r="BO62" s="821"/>
      <c r="BP62" s="822">
        <v>36511</v>
      </c>
      <c r="BQ62" s="822">
        <v>47452</v>
      </c>
      <c r="BR62" s="821">
        <v>25968.44</v>
      </c>
      <c r="BS62" s="821">
        <v>65</v>
      </c>
      <c r="BT62" s="821">
        <v>27.43</v>
      </c>
    </row>
    <row r="63" spans="1:72" s="802" customFormat="1" ht="18.2" customHeight="1" x14ac:dyDescent="0.15">
      <c r="A63" s="805">
        <v>61</v>
      </c>
      <c r="B63" s="806" t="s">
        <v>413</v>
      </c>
      <c r="C63" s="806" t="s">
        <v>25</v>
      </c>
      <c r="D63" s="807">
        <v>45505</v>
      </c>
      <c r="E63" s="808" t="s">
        <v>876</v>
      </c>
      <c r="F63" s="809">
        <v>0</v>
      </c>
      <c r="G63" s="809">
        <v>0</v>
      </c>
      <c r="H63" s="810">
        <v>31418.04</v>
      </c>
      <c r="I63" s="810">
        <v>0</v>
      </c>
      <c r="J63" s="810">
        <v>0</v>
      </c>
      <c r="K63" s="810">
        <v>31418.04</v>
      </c>
      <c r="L63" s="810">
        <v>358.58</v>
      </c>
      <c r="M63" s="810">
        <v>0</v>
      </c>
      <c r="N63" s="810">
        <v>0</v>
      </c>
      <c r="O63" s="810">
        <v>0</v>
      </c>
      <c r="P63" s="810">
        <v>358.58</v>
      </c>
      <c r="Q63" s="810">
        <v>0</v>
      </c>
      <c r="R63" s="810">
        <v>0</v>
      </c>
      <c r="S63" s="810">
        <v>31059.46</v>
      </c>
      <c r="T63" s="810">
        <v>0</v>
      </c>
      <c r="U63" s="810">
        <v>264.44</v>
      </c>
      <c r="V63" s="810">
        <v>0</v>
      </c>
      <c r="W63" s="810">
        <v>0</v>
      </c>
      <c r="X63" s="810">
        <v>264.44</v>
      </c>
      <c r="Y63" s="810">
        <v>0</v>
      </c>
      <c r="Z63" s="810">
        <v>0</v>
      </c>
      <c r="AA63" s="810">
        <v>0</v>
      </c>
      <c r="AB63" s="810">
        <v>65</v>
      </c>
      <c r="AC63" s="810">
        <v>0</v>
      </c>
      <c r="AD63" s="810">
        <v>0</v>
      </c>
      <c r="AE63" s="810">
        <v>0</v>
      </c>
      <c r="AF63" s="810">
        <v>0</v>
      </c>
      <c r="AG63" s="810">
        <v>0</v>
      </c>
      <c r="AH63" s="810">
        <v>81.73</v>
      </c>
      <c r="AI63" s="810">
        <v>73.239999999999995</v>
      </c>
      <c r="AJ63" s="810">
        <v>0</v>
      </c>
      <c r="AK63" s="810">
        <v>0</v>
      </c>
      <c r="AL63" s="810">
        <v>0</v>
      </c>
      <c r="AM63" s="810">
        <v>0</v>
      </c>
      <c r="AN63" s="810">
        <v>0</v>
      </c>
      <c r="AO63" s="810">
        <v>0</v>
      </c>
      <c r="AP63" s="810">
        <v>0</v>
      </c>
      <c r="AQ63" s="810">
        <v>0.73699999999999999</v>
      </c>
      <c r="AR63" s="810">
        <v>0</v>
      </c>
      <c r="AS63" s="810">
        <v>0</v>
      </c>
      <c r="AT63" s="810">
        <v>0</v>
      </c>
      <c r="AU63" s="810">
        <f t="shared" si="0"/>
        <v>843.72700000000009</v>
      </c>
      <c r="AV63" s="810">
        <v>0</v>
      </c>
      <c r="AW63" s="810">
        <v>0</v>
      </c>
      <c r="AX63" s="811">
        <v>64</v>
      </c>
      <c r="AY63" s="811">
        <v>360</v>
      </c>
      <c r="AZ63" s="810">
        <v>237659.49</v>
      </c>
      <c r="BA63" s="810">
        <v>70400</v>
      </c>
      <c r="BB63" s="812">
        <v>80</v>
      </c>
      <c r="BC63" s="812">
        <v>35.294840909090901</v>
      </c>
      <c r="BD63" s="812">
        <v>10.1</v>
      </c>
      <c r="BE63" s="812"/>
      <c r="BF63" s="808" t="s">
        <v>815</v>
      </c>
      <c r="BG63" s="805"/>
      <c r="BH63" s="808" t="s">
        <v>821</v>
      </c>
      <c r="BI63" s="808" t="s">
        <v>836</v>
      </c>
      <c r="BJ63" s="808"/>
      <c r="BK63" s="808" t="s">
        <v>309</v>
      </c>
      <c r="BL63" s="806" t="s">
        <v>2</v>
      </c>
      <c r="BM63" s="812">
        <v>254946.73213424001</v>
      </c>
      <c r="BN63" s="806" t="s">
        <v>740</v>
      </c>
      <c r="BO63" s="812"/>
      <c r="BP63" s="813">
        <v>36553</v>
      </c>
      <c r="BQ63" s="813">
        <v>47484</v>
      </c>
      <c r="BR63" s="812">
        <v>0</v>
      </c>
      <c r="BS63" s="812">
        <v>65</v>
      </c>
      <c r="BT63" s="812">
        <v>0</v>
      </c>
    </row>
    <row r="64" spans="1:72" s="802" customFormat="1" ht="18.2" customHeight="1" x14ac:dyDescent="0.15">
      <c r="A64" s="814">
        <v>62</v>
      </c>
      <c r="B64" s="815" t="s">
        <v>413</v>
      </c>
      <c r="C64" s="815" t="s">
        <v>25</v>
      </c>
      <c r="D64" s="816">
        <v>45505</v>
      </c>
      <c r="E64" s="817" t="s">
        <v>877</v>
      </c>
      <c r="F64" s="818">
        <v>3</v>
      </c>
      <c r="G64" s="818">
        <v>5</v>
      </c>
      <c r="H64" s="819">
        <v>35543.06</v>
      </c>
      <c r="I64" s="819">
        <v>1953.09</v>
      </c>
      <c r="J64" s="819">
        <v>0</v>
      </c>
      <c r="K64" s="819">
        <v>37496.15</v>
      </c>
      <c r="L64" s="819">
        <v>401.77</v>
      </c>
      <c r="M64" s="819">
        <v>0</v>
      </c>
      <c r="N64" s="819">
        <v>0</v>
      </c>
      <c r="O64" s="819">
        <v>1165.5899999999999</v>
      </c>
      <c r="P64" s="819">
        <v>0</v>
      </c>
      <c r="Q64" s="819">
        <v>0</v>
      </c>
      <c r="R64" s="819">
        <v>0</v>
      </c>
      <c r="S64" s="819">
        <v>36333.56</v>
      </c>
      <c r="T64" s="819">
        <v>1525.11</v>
      </c>
      <c r="U64" s="819">
        <v>299.13</v>
      </c>
      <c r="V64" s="819">
        <v>0</v>
      </c>
      <c r="W64" s="819">
        <v>916.81</v>
      </c>
      <c r="X64" s="819">
        <v>0</v>
      </c>
      <c r="Y64" s="819">
        <v>0</v>
      </c>
      <c r="Z64" s="819">
        <v>0</v>
      </c>
      <c r="AA64" s="819">
        <v>907.42</v>
      </c>
      <c r="AB64" s="819">
        <v>65</v>
      </c>
      <c r="AC64" s="819">
        <v>0</v>
      </c>
      <c r="AD64" s="819">
        <v>0</v>
      </c>
      <c r="AE64" s="819">
        <v>0</v>
      </c>
      <c r="AF64" s="819">
        <v>0</v>
      </c>
      <c r="AG64" s="819">
        <v>0</v>
      </c>
      <c r="AH64" s="819">
        <v>0</v>
      </c>
      <c r="AI64" s="819">
        <v>0</v>
      </c>
      <c r="AJ64" s="819">
        <v>65</v>
      </c>
      <c r="AK64" s="819">
        <v>0</v>
      </c>
      <c r="AL64" s="819">
        <v>0</v>
      </c>
      <c r="AM64" s="819">
        <v>88.65</v>
      </c>
      <c r="AN64" s="819">
        <v>0</v>
      </c>
      <c r="AO64" s="819">
        <v>180.6</v>
      </c>
      <c r="AP64" s="819">
        <v>219.49</v>
      </c>
      <c r="AQ64" s="819">
        <v>4.0000000000000001E-3</v>
      </c>
      <c r="AR64" s="819">
        <v>0</v>
      </c>
      <c r="AS64" s="819">
        <v>0</v>
      </c>
      <c r="AT64" s="819">
        <v>0</v>
      </c>
      <c r="AU64" s="819">
        <f t="shared" si="0"/>
        <v>2701.1440000000002</v>
      </c>
      <c r="AV64" s="819">
        <v>1195.28</v>
      </c>
      <c r="AW64" s="819">
        <v>907.42</v>
      </c>
      <c r="AX64" s="820">
        <v>65</v>
      </c>
      <c r="AY64" s="820">
        <v>360</v>
      </c>
      <c r="AZ64" s="819">
        <v>239187.17</v>
      </c>
      <c r="BA64" s="819">
        <v>79200</v>
      </c>
      <c r="BB64" s="821">
        <v>90</v>
      </c>
      <c r="BC64" s="821">
        <v>41.288136363636397</v>
      </c>
      <c r="BD64" s="821">
        <v>10.1</v>
      </c>
      <c r="BE64" s="821"/>
      <c r="BF64" s="817" t="s">
        <v>815</v>
      </c>
      <c r="BG64" s="814"/>
      <c r="BH64" s="817" t="s">
        <v>821</v>
      </c>
      <c r="BI64" s="817" t="s">
        <v>836</v>
      </c>
      <c r="BJ64" s="817"/>
      <c r="BK64" s="817" t="s">
        <v>828</v>
      </c>
      <c r="BL64" s="815" t="s">
        <v>2</v>
      </c>
      <c r="BM64" s="821">
        <v>298238.35922464001</v>
      </c>
      <c r="BN64" s="815" t="s">
        <v>740</v>
      </c>
      <c r="BO64" s="821"/>
      <c r="BP64" s="822">
        <v>36567</v>
      </c>
      <c r="BQ64" s="822">
        <v>47515</v>
      </c>
      <c r="BR64" s="821">
        <v>672.76</v>
      </c>
      <c r="BS64" s="821">
        <v>65</v>
      </c>
      <c r="BT64" s="821">
        <v>29.55</v>
      </c>
    </row>
    <row r="65" spans="1:72" s="802" customFormat="1" ht="18.2" customHeight="1" x14ac:dyDescent="0.15">
      <c r="A65" s="805">
        <v>63</v>
      </c>
      <c r="B65" s="806" t="s">
        <v>413</v>
      </c>
      <c r="C65" s="806" t="s">
        <v>25</v>
      </c>
      <c r="D65" s="807">
        <v>45505</v>
      </c>
      <c r="E65" s="808" t="s">
        <v>878</v>
      </c>
      <c r="F65" s="809">
        <v>0</v>
      </c>
      <c r="G65" s="809">
        <v>0</v>
      </c>
      <c r="H65" s="810">
        <v>38024.699999999997</v>
      </c>
      <c r="I65" s="810">
        <v>0</v>
      </c>
      <c r="J65" s="810">
        <v>0</v>
      </c>
      <c r="K65" s="810">
        <v>38024.699999999997</v>
      </c>
      <c r="L65" s="810">
        <v>420.42</v>
      </c>
      <c r="M65" s="810">
        <v>0</v>
      </c>
      <c r="N65" s="810">
        <v>0</v>
      </c>
      <c r="O65" s="810">
        <v>0</v>
      </c>
      <c r="P65" s="810">
        <v>420.42</v>
      </c>
      <c r="Q65" s="810">
        <v>0</v>
      </c>
      <c r="R65" s="810">
        <v>0</v>
      </c>
      <c r="S65" s="810">
        <v>37604.28</v>
      </c>
      <c r="T65" s="810">
        <v>0</v>
      </c>
      <c r="U65" s="810">
        <v>323.20999999999998</v>
      </c>
      <c r="V65" s="810">
        <v>0</v>
      </c>
      <c r="W65" s="810">
        <v>0</v>
      </c>
      <c r="X65" s="810">
        <v>323.20999999999998</v>
      </c>
      <c r="Y65" s="810">
        <v>0</v>
      </c>
      <c r="Z65" s="810">
        <v>0</v>
      </c>
      <c r="AA65" s="810">
        <v>0</v>
      </c>
      <c r="AB65" s="810">
        <v>65</v>
      </c>
      <c r="AC65" s="810">
        <v>0</v>
      </c>
      <c r="AD65" s="810">
        <v>0</v>
      </c>
      <c r="AE65" s="810">
        <v>0</v>
      </c>
      <c r="AF65" s="810">
        <v>0</v>
      </c>
      <c r="AG65" s="810">
        <v>0</v>
      </c>
      <c r="AH65" s="810">
        <v>95.82</v>
      </c>
      <c r="AI65" s="810">
        <v>27.99</v>
      </c>
      <c r="AJ65" s="810">
        <v>0</v>
      </c>
      <c r="AK65" s="810">
        <v>0</v>
      </c>
      <c r="AL65" s="810">
        <v>0</v>
      </c>
      <c r="AM65" s="810">
        <v>0</v>
      </c>
      <c r="AN65" s="810">
        <v>0</v>
      </c>
      <c r="AO65" s="810">
        <v>0</v>
      </c>
      <c r="AP65" s="810">
        <v>56.62</v>
      </c>
      <c r="AQ65" s="810">
        <v>0.32400000000000001</v>
      </c>
      <c r="AR65" s="810">
        <v>0</v>
      </c>
      <c r="AS65" s="810">
        <v>0</v>
      </c>
      <c r="AT65" s="810">
        <v>0</v>
      </c>
      <c r="AU65" s="810">
        <f t="shared" si="0"/>
        <v>989.38400000000001</v>
      </c>
      <c r="AV65" s="810">
        <v>0</v>
      </c>
      <c r="AW65" s="810">
        <v>0</v>
      </c>
      <c r="AX65" s="811">
        <v>67</v>
      </c>
      <c r="AY65" s="811">
        <v>360</v>
      </c>
      <c r="AZ65" s="810">
        <v>285969</v>
      </c>
      <c r="BA65" s="810">
        <v>83331</v>
      </c>
      <c r="BB65" s="812">
        <v>79.8</v>
      </c>
      <c r="BC65" s="812">
        <v>36.010866832271297</v>
      </c>
      <c r="BD65" s="812">
        <v>10.199999999999999</v>
      </c>
      <c r="BE65" s="812"/>
      <c r="BF65" s="808" t="s">
        <v>815</v>
      </c>
      <c r="BG65" s="805"/>
      <c r="BH65" s="808" t="s">
        <v>823</v>
      </c>
      <c r="BI65" s="808" t="s">
        <v>858</v>
      </c>
      <c r="BJ65" s="808"/>
      <c r="BK65" s="808" t="s">
        <v>309</v>
      </c>
      <c r="BL65" s="806" t="s">
        <v>2</v>
      </c>
      <c r="BM65" s="812">
        <v>308668.86611231999</v>
      </c>
      <c r="BN65" s="806" t="s">
        <v>740</v>
      </c>
      <c r="BO65" s="812"/>
      <c r="BP65" s="813">
        <v>36588</v>
      </c>
      <c r="BQ65" s="813">
        <v>47542</v>
      </c>
      <c r="BR65" s="812">
        <v>0</v>
      </c>
      <c r="BS65" s="812">
        <v>65</v>
      </c>
      <c r="BT65" s="812">
        <v>0</v>
      </c>
    </row>
    <row r="66" spans="1:72" s="802" customFormat="1" ht="18.2" customHeight="1" x14ac:dyDescent="0.15">
      <c r="A66" s="814">
        <v>64</v>
      </c>
      <c r="B66" s="815" t="s">
        <v>413</v>
      </c>
      <c r="C66" s="815" t="s">
        <v>25</v>
      </c>
      <c r="D66" s="816">
        <v>45505</v>
      </c>
      <c r="E66" s="817" t="s">
        <v>879</v>
      </c>
      <c r="F66" s="818">
        <v>1</v>
      </c>
      <c r="G66" s="818">
        <v>1</v>
      </c>
      <c r="H66" s="819">
        <v>40495.089999999997</v>
      </c>
      <c r="I66" s="819">
        <v>439.61</v>
      </c>
      <c r="J66" s="819">
        <v>0</v>
      </c>
      <c r="K66" s="819">
        <v>40934.699999999997</v>
      </c>
      <c r="L66" s="819">
        <v>443.35</v>
      </c>
      <c r="M66" s="819">
        <v>0</v>
      </c>
      <c r="N66" s="819">
        <v>0</v>
      </c>
      <c r="O66" s="819">
        <v>442.95</v>
      </c>
      <c r="P66" s="819">
        <v>0</v>
      </c>
      <c r="Q66" s="819">
        <v>0</v>
      </c>
      <c r="R66" s="819">
        <v>0</v>
      </c>
      <c r="S66" s="819">
        <v>40491.74</v>
      </c>
      <c r="T66" s="819">
        <v>347.92</v>
      </c>
      <c r="U66" s="819">
        <v>344.18</v>
      </c>
      <c r="V66" s="819">
        <v>0</v>
      </c>
      <c r="W66" s="819">
        <v>347.92</v>
      </c>
      <c r="X66" s="819">
        <v>0</v>
      </c>
      <c r="Y66" s="819">
        <v>0</v>
      </c>
      <c r="Z66" s="819">
        <v>0</v>
      </c>
      <c r="AA66" s="819">
        <v>344.18</v>
      </c>
      <c r="AB66" s="819">
        <v>0</v>
      </c>
      <c r="AC66" s="819">
        <v>0</v>
      </c>
      <c r="AD66" s="819">
        <v>0</v>
      </c>
      <c r="AE66" s="819">
        <v>0</v>
      </c>
      <c r="AF66" s="819">
        <v>29.26</v>
      </c>
      <c r="AG66" s="819">
        <v>0</v>
      </c>
      <c r="AH66" s="819">
        <v>0</v>
      </c>
      <c r="AI66" s="819">
        <v>27.81</v>
      </c>
      <c r="AJ66" s="819">
        <v>65</v>
      </c>
      <c r="AK66" s="819">
        <v>0</v>
      </c>
      <c r="AL66" s="819">
        <v>0</v>
      </c>
      <c r="AM66" s="819">
        <v>0</v>
      </c>
      <c r="AN66" s="819">
        <v>0</v>
      </c>
      <c r="AO66" s="819">
        <v>100.65</v>
      </c>
      <c r="AP66" s="819">
        <v>57.08</v>
      </c>
      <c r="AQ66" s="819">
        <v>0</v>
      </c>
      <c r="AR66" s="819">
        <v>0</v>
      </c>
      <c r="AS66" s="819">
        <v>4.8729999999999997E-3</v>
      </c>
      <c r="AT66" s="819">
        <v>0</v>
      </c>
      <c r="AU66" s="819">
        <f t="shared" si="0"/>
        <v>1070.665127</v>
      </c>
      <c r="AV66" s="819">
        <v>443.35</v>
      </c>
      <c r="AW66" s="819">
        <v>344.18</v>
      </c>
      <c r="AX66" s="820">
        <v>66</v>
      </c>
      <c r="AY66" s="820">
        <v>360</v>
      </c>
      <c r="AZ66" s="819">
        <v>286867.96999999997</v>
      </c>
      <c r="BA66" s="819">
        <v>88250</v>
      </c>
      <c r="BB66" s="821">
        <v>84.45</v>
      </c>
      <c r="BC66" s="821">
        <v>38.748186322946196</v>
      </c>
      <c r="BD66" s="821">
        <v>10.199999999999999</v>
      </c>
      <c r="BE66" s="821"/>
      <c r="BF66" s="817" t="s">
        <v>815</v>
      </c>
      <c r="BG66" s="814"/>
      <c r="BH66" s="817" t="s">
        <v>823</v>
      </c>
      <c r="BI66" s="817" t="s">
        <v>858</v>
      </c>
      <c r="BJ66" s="817"/>
      <c r="BK66" s="817" t="s">
        <v>828</v>
      </c>
      <c r="BL66" s="815" t="s">
        <v>2</v>
      </c>
      <c r="BM66" s="821">
        <v>332370.13107856002</v>
      </c>
      <c r="BN66" s="815" t="s">
        <v>740</v>
      </c>
      <c r="BO66" s="821"/>
      <c r="BP66" s="822">
        <v>36595</v>
      </c>
      <c r="BQ66" s="822">
        <v>47542</v>
      </c>
      <c r="BR66" s="821">
        <v>250.07</v>
      </c>
      <c r="BS66" s="821">
        <v>65</v>
      </c>
      <c r="BT66" s="821">
        <v>29.26</v>
      </c>
    </row>
    <row r="67" spans="1:72" s="802" customFormat="1" ht="18.2" customHeight="1" x14ac:dyDescent="0.15">
      <c r="A67" s="805">
        <v>65</v>
      </c>
      <c r="B67" s="806" t="s">
        <v>413</v>
      </c>
      <c r="C67" s="806" t="s">
        <v>25</v>
      </c>
      <c r="D67" s="807">
        <v>45505</v>
      </c>
      <c r="E67" s="808" t="s">
        <v>880</v>
      </c>
      <c r="F67" s="809">
        <v>0</v>
      </c>
      <c r="G67" s="809">
        <v>0</v>
      </c>
      <c r="H67" s="810">
        <v>42126.78</v>
      </c>
      <c r="I67" s="810">
        <v>0</v>
      </c>
      <c r="J67" s="810">
        <v>0</v>
      </c>
      <c r="K67" s="810">
        <v>42126.78</v>
      </c>
      <c r="L67" s="810">
        <v>434.58</v>
      </c>
      <c r="M67" s="810">
        <v>0</v>
      </c>
      <c r="N67" s="810">
        <v>0</v>
      </c>
      <c r="O67" s="810">
        <v>0</v>
      </c>
      <c r="P67" s="810">
        <v>434.58</v>
      </c>
      <c r="Q67" s="810">
        <v>0</v>
      </c>
      <c r="R67" s="810">
        <v>0</v>
      </c>
      <c r="S67" s="810">
        <v>41692.199999999997</v>
      </c>
      <c r="T67" s="810">
        <v>0</v>
      </c>
      <c r="U67" s="810">
        <v>358.08</v>
      </c>
      <c r="V67" s="810">
        <v>0</v>
      </c>
      <c r="W67" s="810">
        <v>0</v>
      </c>
      <c r="X67" s="810">
        <v>358.08</v>
      </c>
      <c r="Y67" s="810">
        <v>0</v>
      </c>
      <c r="Z67" s="810">
        <v>0</v>
      </c>
      <c r="AA67" s="810">
        <v>0</v>
      </c>
      <c r="AB67" s="810">
        <v>65</v>
      </c>
      <c r="AC67" s="810">
        <v>0</v>
      </c>
      <c r="AD67" s="810">
        <v>0</v>
      </c>
      <c r="AE67" s="810">
        <v>0</v>
      </c>
      <c r="AF67" s="810">
        <v>0</v>
      </c>
      <c r="AG67" s="810">
        <v>0</v>
      </c>
      <c r="AH67" s="810">
        <v>0</v>
      </c>
      <c r="AI67" s="810">
        <v>84.54</v>
      </c>
      <c r="AJ67" s="810">
        <v>0</v>
      </c>
      <c r="AK67" s="810">
        <v>0</v>
      </c>
      <c r="AL67" s="810">
        <v>0</v>
      </c>
      <c r="AM67" s="810">
        <v>0</v>
      </c>
      <c r="AN67" s="810">
        <v>0</v>
      </c>
      <c r="AO67" s="810">
        <v>101.22</v>
      </c>
      <c r="AP67" s="810">
        <v>0</v>
      </c>
      <c r="AQ67" s="810">
        <v>0</v>
      </c>
      <c r="AR67" s="810">
        <v>0</v>
      </c>
      <c r="AS67" s="810">
        <v>1.7056000000000002E-2</v>
      </c>
      <c r="AT67" s="810">
        <v>0</v>
      </c>
      <c r="AU67" s="810">
        <f t="shared" ref="AU67:AU130" si="1">SUM(AB67:AR67,W67:Y67,O67:R67)-J67-AS67-AT67</f>
        <v>1043.4029440000002</v>
      </c>
      <c r="AV67" s="810">
        <v>0</v>
      </c>
      <c r="AW67" s="810">
        <v>0</v>
      </c>
      <c r="AX67" s="811">
        <v>70</v>
      </c>
      <c r="AY67" s="811">
        <v>360</v>
      </c>
      <c r="AZ67" s="810">
        <v>291235.23</v>
      </c>
      <c r="BA67" s="810">
        <v>88825</v>
      </c>
      <c r="BB67" s="812">
        <v>85</v>
      </c>
      <c r="BC67" s="812">
        <v>39.896842105263197</v>
      </c>
      <c r="BD67" s="812">
        <v>10.199999999999999</v>
      </c>
      <c r="BE67" s="812"/>
      <c r="BF67" s="808" t="s">
        <v>815</v>
      </c>
      <c r="BG67" s="805"/>
      <c r="BH67" s="808" t="s">
        <v>823</v>
      </c>
      <c r="BI67" s="808" t="s">
        <v>858</v>
      </c>
      <c r="BJ67" s="808"/>
      <c r="BK67" s="808" t="s">
        <v>309</v>
      </c>
      <c r="BL67" s="806" t="s">
        <v>2</v>
      </c>
      <c r="BM67" s="812">
        <v>342223.91971679998</v>
      </c>
      <c r="BN67" s="806" t="s">
        <v>740</v>
      </c>
      <c r="BO67" s="812"/>
      <c r="BP67" s="813">
        <v>36686</v>
      </c>
      <c r="BQ67" s="813">
        <v>47635</v>
      </c>
      <c r="BR67" s="812">
        <v>0</v>
      </c>
      <c r="BS67" s="812">
        <v>65</v>
      </c>
      <c r="BT67" s="812">
        <v>0</v>
      </c>
    </row>
    <row r="68" spans="1:72" s="802" customFormat="1" ht="18.2" customHeight="1" x14ac:dyDescent="0.15">
      <c r="A68" s="814">
        <v>66</v>
      </c>
      <c r="B68" s="815" t="s">
        <v>413</v>
      </c>
      <c r="C68" s="815" t="s">
        <v>25</v>
      </c>
      <c r="D68" s="816">
        <v>45505</v>
      </c>
      <c r="E68" s="817" t="s">
        <v>881</v>
      </c>
      <c r="F68" s="818">
        <v>0</v>
      </c>
      <c r="G68" s="818">
        <v>0</v>
      </c>
      <c r="H68" s="819">
        <v>35308.6</v>
      </c>
      <c r="I68" s="819">
        <v>0</v>
      </c>
      <c r="J68" s="819">
        <v>0</v>
      </c>
      <c r="K68" s="819">
        <v>35308.6</v>
      </c>
      <c r="L68" s="819">
        <v>386.22</v>
      </c>
      <c r="M68" s="819">
        <v>0</v>
      </c>
      <c r="N68" s="819">
        <v>0</v>
      </c>
      <c r="O68" s="819">
        <v>0</v>
      </c>
      <c r="P68" s="819">
        <v>386.22</v>
      </c>
      <c r="Q68" s="819">
        <v>4.12</v>
      </c>
      <c r="R68" s="819">
        <v>0</v>
      </c>
      <c r="S68" s="819">
        <v>34918.26</v>
      </c>
      <c r="T68" s="819">
        <v>0</v>
      </c>
      <c r="U68" s="819">
        <v>297.14999999999998</v>
      </c>
      <c r="V68" s="819">
        <v>0</v>
      </c>
      <c r="W68" s="819">
        <v>0</v>
      </c>
      <c r="X68" s="819">
        <v>297.14999999999998</v>
      </c>
      <c r="Y68" s="819">
        <v>0</v>
      </c>
      <c r="Z68" s="819">
        <v>0</v>
      </c>
      <c r="AA68" s="819">
        <v>0</v>
      </c>
      <c r="AB68" s="819">
        <v>65</v>
      </c>
      <c r="AC68" s="819">
        <v>0</v>
      </c>
      <c r="AD68" s="819">
        <v>0</v>
      </c>
      <c r="AE68" s="819">
        <v>0</v>
      </c>
      <c r="AF68" s="819">
        <v>0</v>
      </c>
      <c r="AG68" s="819">
        <v>0</v>
      </c>
      <c r="AH68" s="819">
        <v>88.37</v>
      </c>
      <c r="AI68" s="819">
        <v>72.89</v>
      </c>
      <c r="AJ68" s="819">
        <v>0</v>
      </c>
      <c r="AK68" s="819">
        <v>0</v>
      </c>
      <c r="AL68" s="819">
        <v>0</v>
      </c>
      <c r="AM68" s="819">
        <v>0</v>
      </c>
      <c r="AN68" s="819">
        <v>0</v>
      </c>
      <c r="AO68" s="819">
        <v>0</v>
      </c>
      <c r="AP68" s="819">
        <v>0</v>
      </c>
      <c r="AQ68" s="819">
        <v>0</v>
      </c>
      <c r="AR68" s="819">
        <v>0</v>
      </c>
      <c r="AS68" s="819">
        <v>3.8984999999999999E-2</v>
      </c>
      <c r="AT68" s="819">
        <v>0</v>
      </c>
      <c r="AU68" s="819">
        <f t="shared" si="1"/>
        <v>913.71101499999997</v>
      </c>
      <c r="AV68" s="819">
        <v>0</v>
      </c>
      <c r="AW68" s="819">
        <v>0</v>
      </c>
      <c r="AX68" s="820">
        <v>70</v>
      </c>
      <c r="AY68" s="820">
        <v>360</v>
      </c>
      <c r="AZ68" s="819">
        <v>239330.52</v>
      </c>
      <c r="BA68" s="819">
        <v>77220</v>
      </c>
      <c r="BB68" s="821">
        <v>90</v>
      </c>
      <c r="BC68" s="821">
        <v>40.697272727272697</v>
      </c>
      <c r="BD68" s="821">
        <v>10.1</v>
      </c>
      <c r="BE68" s="821"/>
      <c r="BF68" s="817" t="s">
        <v>815</v>
      </c>
      <c r="BG68" s="814"/>
      <c r="BH68" s="817" t="s">
        <v>823</v>
      </c>
      <c r="BI68" s="817" t="s">
        <v>882</v>
      </c>
      <c r="BJ68" s="817"/>
      <c r="BK68" s="817" t="s">
        <v>309</v>
      </c>
      <c r="BL68" s="815" t="s">
        <v>2</v>
      </c>
      <c r="BM68" s="821">
        <v>286621.08996144001</v>
      </c>
      <c r="BN68" s="815" t="s">
        <v>740</v>
      </c>
      <c r="BO68" s="821"/>
      <c r="BP68" s="822">
        <v>36693</v>
      </c>
      <c r="BQ68" s="822">
        <v>47635</v>
      </c>
      <c r="BR68" s="821">
        <v>0</v>
      </c>
      <c r="BS68" s="821">
        <v>65</v>
      </c>
      <c r="BT68" s="821">
        <v>0</v>
      </c>
    </row>
    <row r="69" spans="1:72" s="802" customFormat="1" ht="18.2" customHeight="1" x14ac:dyDescent="0.15">
      <c r="A69" s="805">
        <v>67</v>
      </c>
      <c r="B69" s="806" t="s">
        <v>413</v>
      </c>
      <c r="C69" s="806" t="s">
        <v>25</v>
      </c>
      <c r="D69" s="807">
        <v>45505</v>
      </c>
      <c r="E69" s="808" t="s">
        <v>573</v>
      </c>
      <c r="F69" s="809">
        <v>12</v>
      </c>
      <c r="G69" s="809">
        <v>13</v>
      </c>
      <c r="H69" s="810">
        <v>36820.550000000003</v>
      </c>
      <c r="I69" s="810">
        <v>4788.46</v>
      </c>
      <c r="J69" s="810">
        <v>0</v>
      </c>
      <c r="K69" s="810">
        <v>41609.01</v>
      </c>
      <c r="L69" s="810">
        <v>386.9</v>
      </c>
      <c r="M69" s="810">
        <v>0</v>
      </c>
      <c r="N69" s="810">
        <v>0</v>
      </c>
      <c r="O69" s="810">
        <v>438.56</v>
      </c>
      <c r="P69" s="810">
        <v>0</v>
      </c>
      <c r="Q69" s="810">
        <v>0</v>
      </c>
      <c r="R69" s="810">
        <v>0</v>
      </c>
      <c r="S69" s="810">
        <v>41173.35</v>
      </c>
      <c r="T69" s="810">
        <v>4040.67</v>
      </c>
      <c r="U69" s="810">
        <v>314</v>
      </c>
      <c r="V69" s="810">
        <v>0</v>
      </c>
      <c r="W69" s="810">
        <v>727.42</v>
      </c>
      <c r="X69" s="810">
        <v>0</v>
      </c>
      <c r="Y69" s="810">
        <v>0</v>
      </c>
      <c r="Z69" s="810">
        <v>0</v>
      </c>
      <c r="AA69" s="810">
        <v>3627.25</v>
      </c>
      <c r="AB69" s="810">
        <v>0</v>
      </c>
      <c r="AC69" s="810">
        <v>0</v>
      </c>
      <c r="AD69" s="810">
        <v>0</v>
      </c>
      <c r="AE69" s="810">
        <v>0</v>
      </c>
      <c r="AF69" s="810">
        <v>30.05</v>
      </c>
      <c r="AG69" s="810">
        <v>0</v>
      </c>
      <c r="AH69" s="810">
        <v>0</v>
      </c>
      <c r="AI69" s="810">
        <v>0</v>
      </c>
      <c r="AJ69" s="810">
        <v>65</v>
      </c>
      <c r="AK69" s="810">
        <v>0</v>
      </c>
      <c r="AL69" s="810">
        <v>0</v>
      </c>
      <c r="AM69" s="810">
        <v>0</v>
      </c>
      <c r="AN69" s="810">
        <v>0</v>
      </c>
      <c r="AO69" s="810">
        <v>90.3</v>
      </c>
      <c r="AP69" s="810">
        <v>73.069999999999993</v>
      </c>
      <c r="AQ69" s="810">
        <v>324.61799999999999</v>
      </c>
      <c r="AR69" s="810">
        <v>0</v>
      </c>
      <c r="AS69" s="810">
        <v>0</v>
      </c>
      <c r="AT69" s="810">
        <v>0</v>
      </c>
      <c r="AU69" s="810">
        <f t="shared" si="1"/>
        <v>1749.018</v>
      </c>
      <c r="AV69" s="810">
        <v>4253.03</v>
      </c>
      <c r="AW69" s="810">
        <v>3627.25</v>
      </c>
      <c r="AX69" s="811">
        <v>69</v>
      </c>
      <c r="AY69" s="811">
        <v>360</v>
      </c>
      <c r="AZ69" s="810">
        <v>246064.1</v>
      </c>
      <c r="BA69" s="810">
        <v>79200</v>
      </c>
      <c r="BB69" s="812">
        <v>90</v>
      </c>
      <c r="BC69" s="812">
        <v>46.7878977272727</v>
      </c>
      <c r="BD69" s="812">
        <v>10.1</v>
      </c>
      <c r="BE69" s="812"/>
      <c r="BF69" s="808" t="s">
        <v>815</v>
      </c>
      <c r="BG69" s="805"/>
      <c r="BH69" s="808" t="s">
        <v>540</v>
      </c>
      <c r="BI69" s="808" t="s">
        <v>883</v>
      </c>
      <c r="BJ69" s="808"/>
      <c r="BK69" s="808" t="s">
        <v>338</v>
      </c>
      <c r="BL69" s="806" t="s">
        <v>2</v>
      </c>
      <c r="BM69" s="812">
        <v>337965.02043239999</v>
      </c>
      <c r="BN69" s="806" t="s">
        <v>740</v>
      </c>
      <c r="BO69" s="812"/>
      <c r="BP69" s="813">
        <v>36707</v>
      </c>
      <c r="BQ69" s="813">
        <v>47635</v>
      </c>
      <c r="BR69" s="812">
        <v>3095.41</v>
      </c>
      <c r="BS69" s="812">
        <v>65</v>
      </c>
      <c r="BT69" s="812">
        <v>28.72</v>
      </c>
    </row>
    <row r="70" spans="1:72" s="802" customFormat="1" ht="18.2" customHeight="1" x14ac:dyDescent="0.15">
      <c r="A70" s="814">
        <v>68</v>
      </c>
      <c r="B70" s="815" t="s">
        <v>413</v>
      </c>
      <c r="C70" s="815" t="s">
        <v>25</v>
      </c>
      <c r="D70" s="816">
        <v>45505</v>
      </c>
      <c r="E70" s="817" t="s">
        <v>884</v>
      </c>
      <c r="F70" s="818">
        <v>0</v>
      </c>
      <c r="G70" s="818">
        <v>3</v>
      </c>
      <c r="H70" s="819">
        <v>35178.660000000003</v>
      </c>
      <c r="I70" s="819">
        <v>1194.27</v>
      </c>
      <c r="J70" s="819">
        <v>0</v>
      </c>
      <c r="K70" s="819">
        <v>36372.93</v>
      </c>
      <c r="L70" s="819">
        <v>404.81</v>
      </c>
      <c r="M70" s="819">
        <v>0</v>
      </c>
      <c r="N70" s="819">
        <v>0</v>
      </c>
      <c r="O70" s="819">
        <v>1194.27</v>
      </c>
      <c r="P70" s="819">
        <v>404.81</v>
      </c>
      <c r="Q70" s="819">
        <v>0</v>
      </c>
      <c r="R70" s="819">
        <v>0</v>
      </c>
      <c r="S70" s="819">
        <v>34773.85</v>
      </c>
      <c r="T70" s="819">
        <v>908.43</v>
      </c>
      <c r="U70" s="819">
        <v>296.08999999999997</v>
      </c>
      <c r="V70" s="819">
        <v>0</v>
      </c>
      <c r="W70" s="819">
        <v>908.43</v>
      </c>
      <c r="X70" s="819">
        <v>296.08999999999997</v>
      </c>
      <c r="Y70" s="819">
        <v>0</v>
      </c>
      <c r="Z70" s="819">
        <v>0</v>
      </c>
      <c r="AA70" s="819">
        <v>0</v>
      </c>
      <c r="AB70" s="819">
        <v>65</v>
      </c>
      <c r="AC70" s="819">
        <v>0</v>
      </c>
      <c r="AD70" s="819">
        <v>0</v>
      </c>
      <c r="AE70" s="819">
        <v>0</v>
      </c>
      <c r="AF70" s="819">
        <v>0</v>
      </c>
      <c r="AG70" s="819">
        <v>0</v>
      </c>
      <c r="AH70" s="819">
        <v>90.3</v>
      </c>
      <c r="AI70" s="819">
        <v>110.12</v>
      </c>
      <c r="AJ70" s="819">
        <v>195</v>
      </c>
      <c r="AK70" s="819">
        <v>0</v>
      </c>
      <c r="AL70" s="819">
        <v>0</v>
      </c>
      <c r="AM70" s="819">
        <v>86.16</v>
      </c>
      <c r="AN70" s="819">
        <v>0</v>
      </c>
      <c r="AO70" s="819">
        <v>270.89999999999998</v>
      </c>
      <c r="AP70" s="819">
        <v>182.16</v>
      </c>
      <c r="AQ70" s="819">
        <v>0</v>
      </c>
      <c r="AR70" s="819">
        <v>0</v>
      </c>
      <c r="AS70" s="819">
        <v>0</v>
      </c>
      <c r="AT70" s="819">
        <v>0</v>
      </c>
      <c r="AU70" s="819">
        <f t="shared" si="1"/>
        <v>3803.24</v>
      </c>
      <c r="AV70" s="819">
        <v>0</v>
      </c>
      <c r="AW70" s="819">
        <v>0</v>
      </c>
      <c r="AX70" s="820">
        <v>69</v>
      </c>
      <c r="AY70" s="820">
        <v>360</v>
      </c>
      <c r="AZ70" s="819">
        <v>246064.1</v>
      </c>
      <c r="BA70" s="819">
        <v>79200</v>
      </c>
      <c r="BB70" s="821">
        <v>90</v>
      </c>
      <c r="BC70" s="821">
        <v>39.515738636363601</v>
      </c>
      <c r="BD70" s="821">
        <v>10.1</v>
      </c>
      <c r="BE70" s="821"/>
      <c r="BF70" s="817" t="s">
        <v>815</v>
      </c>
      <c r="BG70" s="814"/>
      <c r="BH70" s="817" t="s">
        <v>540</v>
      </c>
      <c r="BI70" s="817" t="s">
        <v>883</v>
      </c>
      <c r="BJ70" s="817"/>
      <c r="BK70" s="817" t="s">
        <v>309</v>
      </c>
      <c r="BL70" s="815" t="s">
        <v>2</v>
      </c>
      <c r="BM70" s="821">
        <v>285435.72300439997</v>
      </c>
      <c r="BN70" s="815" t="s">
        <v>740</v>
      </c>
      <c r="BO70" s="821"/>
      <c r="BP70" s="822">
        <v>36707</v>
      </c>
      <c r="BQ70" s="822">
        <v>47635</v>
      </c>
      <c r="BR70" s="821">
        <v>0</v>
      </c>
      <c r="BS70" s="821">
        <v>65</v>
      </c>
      <c r="BT70" s="821">
        <v>0</v>
      </c>
    </row>
    <row r="71" spans="1:72" s="802" customFormat="1" ht="18.2" customHeight="1" x14ac:dyDescent="0.15">
      <c r="A71" s="805">
        <v>69</v>
      </c>
      <c r="B71" s="806" t="s">
        <v>413</v>
      </c>
      <c r="C71" s="806" t="s">
        <v>25</v>
      </c>
      <c r="D71" s="807">
        <v>45505</v>
      </c>
      <c r="E71" s="808" t="s">
        <v>885</v>
      </c>
      <c r="F71" s="809">
        <v>7</v>
      </c>
      <c r="G71" s="809">
        <v>6</v>
      </c>
      <c r="H71" s="810">
        <v>36046.720000000001</v>
      </c>
      <c r="I71" s="810">
        <v>2316.33</v>
      </c>
      <c r="J71" s="810">
        <v>0</v>
      </c>
      <c r="K71" s="810">
        <v>38363.050000000003</v>
      </c>
      <c r="L71" s="810">
        <v>397.51</v>
      </c>
      <c r="M71" s="810">
        <v>0</v>
      </c>
      <c r="N71" s="810">
        <v>0</v>
      </c>
      <c r="O71" s="810">
        <v>0</v>
      </c>
      <c r="P71" s="810">
        <v>0</v>
      </c>
      <c r="Q71" s="810">
        <v>0</v>
      </c>
      <c r="R71" s="810">
        <v>0</v>
      </c>
      <c r="S71" s="810">
        <v>38363.050000000003</v>
      </c>
      <c r="T71" s="810">
        <v>1889.07</v>
      </c>
      <c r="U71" s="810">
        <v>303.39</v>
      </c>
      <c r="V71" s="810">
        <v>0</v>
      </c>
      <c r="W71" s="810">
        <v>0</v>
      </c>
      <c r="X71" s="810">
        <v>0</v>
      </c>
      <c r="Y71" s="810">
        <v>0</v>
      </c>
      <c r="Z71" s="810">
        <v>0</v>
      </c>
      <c r="AA71" s="810">
        <v>2192.46</v>
      </c>
      <c r="AB71" s="810">
        <v>0</v>
      </c>
      <c r="AC71" s="810">
        <v>0</v>
      </c>
      <c r="AD71" s="810">
        <v>0</v>
      </c>
      <c r="AE71" s="810">
        <v>0</v>
      </c>
      <c r="AF71" s="810">
        <v>0</v>
      </c>
      <c r="AG71" s="810">
        <v>0</v>
      </c>
      <c r="AH71" s="810">
        <v>0</v>
      </c>
      <c r="AI71" s="810">
        <v>0</v>
      </c>
      <c r="AJ71" s="810">
        <v>0</v>
      </c>
      <c r="AK71" s="810">
        <v>0</v>
      </c>
      <c r="AL71" s="810">
        <v>0</v>
      </c>
      <c r="AM71" s="810">
        <v>0</v>
      </c>
      <c r="AN71" s="810">
        <v>0</v>
      </c>
      <c r="AO71" s="810">
        <v>0</v>
      </c>
      <c r="AP71" s="810">
        <v>0</v>
      </c>
      <c r="AQ71" s="810">
        <v>0</v>
      </c>
      <c r="AR71" s="810">
        <v>0</v>
      </c>
      <c r="AS71" s="810">
        <v>0</v>
      </c>
      <c r="AT71" s="810">
        <v>0</v>
      </c>
      <c r="AU71" s="810">
        <f t="shared" si="1"/>
        <v>0</v>
      </c>
      <c r="AV71" s="810">
        <v>2713.84</v>
      </c>
      <c r="AW71" s="810">
        <v>2192.46</v>
      </c>
      <c r="AX71" s="811">
        <v>71</v>
      </c>
      <c r="AY71" s="811">
        <v>360</v>
      </c>
      <c r="AZ71" s="810">
        <v>247943.52</v>
      </c>
      <c r="BA71" s="810">
        <v>79200</v>
      </c>
      <c r="BB71" s="812">
        <v>90</v>
      </c>
      <c r="BC71" s="812">
        <v>43.594374999999999</v>
      </c>
      <c r="BD71" s="812">
        <v>10.1</v>
      </c>
      <c r="BE71" s="812"/>
      <c r="BF71" s="808" t="s">
        <v>815</v>
      </c>
      <c r="BG71" s="805"/>
      <c r="BH71" s="808" t="s">
        <v>540</v>
      </c>
      <c r="BI71" s="808" t="s">
        <v>883</v>
      </c>
      <c r="BJ71" s="808"/>
      <c r="BK71" s="808" t="s">
        <v>338</v>
      </c>
      <c r="BL71" s="806" t="s">
        <v>2</v>
      </c>
      <c r="BM71" s="812">
        <v>314897.11128920002</v>
      </c>
      <c r="BN71" s="806" t="s">
        <v>740</v>
      </c>
      <c r="BO71" s="812"/>
      <c r="BP71" s="813">
        <v>36756</v>
      </c>
      <c r="BQ71" s="813">
        <v>47696</v>
      </c>
      <c r="BR71" s="812">
        <v>1768.11</v>
      </c>
      <c r="BS71" s="812">
        <v>65</v>
      </c>
      <c r="BT71" s="812">
        <v>28.5</v>
      </c>
    </row>
    <row r="72" spans="1:72" s="802" customFormat="1" ht="18.2" customHeight="1" x14ac:dyDescent="0.15">
      <c r="A72" s="814">
        <v>70</v>
      </c>
      <c r="B72" s="815" t="s">
        <v>413</v>
      </c>
      <c r="C72" s="815" t="s">
        <v>25</v>
      </c>
      <c r="D72" s="816">
        <v>45505</v>
      </c>
      <c r="E72" s="817" t="s">
        <v>886</v>
      </c>
      <c r="F72" s="818">
        <v>0</v>
      </c>
      <c r="G72" s="818">
        <v>0</v>
      </c>
      <c r="H72" s="819">
        <v>34025.040000000001</v>
      </c>
      <c r="I72" s="819">
        <v>0</v>
      </c>
      <c r="J72" s="819">
        <v>0</v>
      </c>
      <c r="K72" s="819">
        <v>34025.040000000001</v>
      </c>
      <c r="L72" s="819">
        <v>342.83</v>
      </c>
      <c r="M72" s="819">
        <v>0</v>
      </c>
      <c r="N72" s="819">
        <v>0</v>
      </c>
      <c r="O72" s="819">
        <v>342.83</v>
      </c>
      <c r="P72" s="819">
        <v>0</v>
      </c>
      <c r="Q72" s="819">
        <v>0</v>
      </c>
      <c r="R72" s="819">
        <v>0</v>
      </c>
      <c r="S72" s="819">
        <v>33682.21</v>
      </c>
      <c r="T72" s="819">
        <v>0</v>
      </c>
      <c r="U72" s="819">
        <v>286.38</v>
      </c>
      <c r="V72" s="819">
        <v>0</v>
      </c>
      <c r="W72" s="819">
        <v>0</v>
      </c>
      <c r="X72" s="819">
        <v>286.38</v>
      </c>
      <c r="Y72" s="819">
        <v>0</v>
      </c>
      <c r="Z72" s="819">
        <v>0</v>
      </c>
      <c r="AA72" s="819">
        <v>0</v>
      </c>
      <c r="AB72" s="819">
        <v>65</v>
      </c>
      <c r="AC72" s="819">
        <v>0</v>
      </c>
      <c r="AD72" s="819">
        <v>0</v>
      </c>
      <c r="AE72" s="819">
        <v>0</v>
      </c>
      <c r="AF72" s="819">
        <v>0</v>
      </c>
      <c r="AG72" s="819">
        <v>0</v>
      </c>
      <c r="AH72" s="819">
        <v>82.41</v>
      </c>
      <c r="AI72" s="819">
        <v>72.489999999999995</v>
      </c>
      <c r="AJ72" s="819">
        <v>0</v>
      </c>
      <c r="AK72" s="819">
        <v>0</v>
      </c>
      <c r="AL72" s="819">
        <v>0</v>
      </c>
      <c r="AM72" s="819">
        <v>0</v>
      </c>
      <c r="AN72" s="819">
        <v>0</v>
      </c>
      <c r="AO72" s="819">
        <v>0</v>
      </c>
      <c r="AP72" s="819">
        <v>0</v>
      </c>
      <c r="AQ72" s="819">
        <v>1.079</v>
      </c>
      <c r="AR72" s="819">
        <v>0</v>
      </c>
      <c r="AS72" s="819">
        <v>0</v>
      </c>
      <c r="AT72" s="819">
        <v>0</v>
      </c>
      <c r="AU72" s="819">
        <f t="shared" si="1"/>
        <v>850.18899999999996</v>
      </c>
      <c r="AV72" s="819">
        <v>0</v>
      </c>
      <c r="AW72" s="819">
        <v>0</v>
      </c>
      <c r="AX72" s="820">
        <v>72</v>
      </c>
      <c r="AY72" s="820">
        <v>360</v>
      </c>
      <c r="AZ72" s="819">
        <v>222585.66</v>
      </c>
      <c r="BA72" s="819">
        <v>71100</v>
      </c>
      <c r="BB72" s="821">
        <v>90</v>
      </c>
      <c r="BC72" s="821">
        <v>42.6357088607595</v>
      </c>
      <c r="BD72" s="821">
        <v>10.1</v>
      </c>
      <c r="BE72" s="821"/>
      <c r="BF72" s="817" t="s">
        <v>815</v>
      </c>
      <c r="BG72" s="814"/>
      <c r="BH72" s="817" t="s">
        <v>540</v>
      </c>
      <c r="BI72" s="817" t="s">
        <v>883</v>
      </c>
      <c r="BJ72" s="817"/>
      <c r="BK72" s="817" t="s">
        <v>309</v>
      </c>
      <c r="BL72" s="815" t="s">
        <v>2</v>
      </c>
      <c r="BM72" s="821">
        <v>276475.16636024002</v>
      </c>
      <c r="BN72" s="815" t="s">
        <v>740</v>
      </c>
      <c r="BO72" s="821"/>
      <c r="BP72" s="822">
        <v>36756</v>
      </c>
      <c r="BQ72" s="822">
        <v>47696</v>
      </c>
      <c r="BR72" s="821">
        <v>0</v>
      </c>
      <c r="BS72" s="821">
        <v>65</v>
      </c>
      <c r="BT72" s="821">
        <v>0</v>
      </c>
    </row>
    <row r="73" spans="1:72" s="802" customFormat="1" ht="18.2" customHeight="1" x14ac:dyDescent="0.15">
      <c r="A73" s="805">
        <v>71</v>
      </c>
      <c r="B73" s="806" t="s">
        <v>413</v>
      </c>
      <c r="C73" s="806" t="s">
        <v>25</v>
      </c>
      <c r="D73" s="807">
        <v>45505</v>
      </c>
      <c r="E73" s="808" t="s">
        <v>887</v>
      </c>
      <c r="F73" s="809">
        <v>0</v>
      </c>
      <c r="G73" s="809">
        <v>0</v>
      </c>
      <c r="H73" s="810">
        <v>26487.23</v>
      </c>
      <c r="I73" s="810">
        <v>0</v>
      </c>
      <c r="J73" s="810">
        <v>0</v>
      </c>
      <c r="K73" s="810">
        <v>26487.23</v>
      </c>
      <c r="L73" s="810">
        <v>406.28</v>
      </c>
      <c r="M73" s="810">
        <v>0</v>
      </c>
      <c r="N73" s="810">
        <v>0</v>
      </c>
      <c r="O73" s="810">
        <v>0</v>
      </c>
      <c r="P73" s="810">
        <v>406.28</v>
      </c>
      <c r="Q73" s="810">
        <v>0</v>
      </c>
      <c r="R73" s="810">
        <v>0</v>
      </c>
      <c r="S73" s="810">
        <v>26080.95</v>
      </c>
      <c r="T73" s="810">
        <v>0</v>
      </c>
      <c r="U73" s="810">
        <v>222.93</v>
      </c>
      <c r="V73" s="810">
        <v>0</v>
      </c>
      <c r="W73" s="810">
        <v>0</v>
      </c>
      <c r="X73" s="810">
        <v>222.93</v>
      </c>
      <c r="Y73" s="810">
        <v>0</v>
      </c>
      <c r="Z73" s="810">
        <v>0</v>
      </c>
      <c r="AA73" s="810">
        <v>0</v>
      </c>
      <c r="AB73" s="810">
        <v>65</v>
      </c>
      <c r="AC73" s="810">
        <v>0</v>
      </c>
      <c r="AD73" s="810">
        <v>0</v>
      </c>
      <c r="AE73" s="810">
        <v>0</v>
      </c>
      <c r="AF73" s="810">
        <v>0</v>
      </c>
      <c r="AG73" s="810">
        <v>0</v>
      </c>
      <c r="AH73" s="810">
        <v>82.41</v>
      </c>
      <c r="AI73" s="810">
        <v>72.489999999999995</v>
      </c>
      <c r="AJ73" s="810">
        <v>0</v>
      </c>
      <c r="AK73" s="810">
        <v>0</v>
      </c>
      <c r="AL73" s="810">
        <v>0</v>
      </c>
      <c r="AM73" s="810">
        <v>0</v>
      </c>
      <c r="AN73" s="810">
        <v>0</v>
      </c>
      <c r="AO73" s="810">
        <v>0</v>
      </c>
      <c r="AP73" s="810">
        <v>0</v>
      </c>
      <c r="AQ73" s="810">
        <v>0.106</v>
      </c>
      <c r="AR73" s="810">
        <v>0</v>
      </c>
      <c r="AS73" s="810">
        <v>0</v>
      </c>
      <c r="AT73" s="810">
        <v>0</v>
      </c>
      <c r="AU73" s="810">
        <f t="shared" si="1"/>
        <v>849.21599999999989</v>
      </c>
      <c r="AV73" s="810">
        <v>0</v>
      </c>
      <c r="AW73" s="810">
        <v>0</v>
      </c>
      <c r="AX73" s="811">
        <v>72</v>
      </c>
      <c r="AY73" s="811">
        <v>360</v>
      </c>
      <c r="AZ73" s="810">
        <v>222585.66</v>
      </c>
      <c r="BA73" s="810">
        <v>71100</v>
      </c>
      <c r="BB73" s="812">
        <v>90</v>
      </c>
      <c r="BC73" s="812">
        <v>33.013860759493703</v>
      </c>
      <c r="BD73" s="812">
        <v>10.1</v>
      </c>
      <c r="BE73" s="812"/>
      <c r="BF73" s="808" t="s">
        <v>815</v>
      </c>
      <c r="BG73" s="805"/>
      <c r="BH73" s="808" t="s">
        <v>540</v>
      </c>
      <c r="BI73" s="808" t="s">
        <v>883</v>
      </c>
      <c r="BJ73" s="808"/>
      <c r="BK73" s="808" t="s">
        <v>309</v>
      </c>
      <c r="BL73" s="806" t="s">
        <v>2</v>
      </c>
      <c r="BM73" s="812">
        <v>214081.40944680001</v>
      </c>
      <c r="BN73" s="806" t="s">
        <v>740</v>
      </c>
      <c r="BO73" s="812"/>
      <c r="BP73" s="813">
        <v>36756</v>
      </c>
      <c r="BQ73" s="813">
        <v>47696</v>
      </c>
      <c r="BR73" s="812">
        <v>0</v>
      </c>
      <c r="BS73" s="812">
        <v>65</v>
      </c>
      <c r="BT73" s="812">
        <v>0</v>
      </c>
    </row>
    <row r="74" spans="1:72" s="802" customFormat="1" ht="18.2" customHeight="1" x14ac:dyDescent="0.15">
      <c r="A74" s="814">
        <v>72</v>
      </c>
      <c r="B74" s="815" t="s">
        <v>413</v>
      </c>
      <c r="C74" s="815" t="s">
        <v>25</v>
      </c>
      <c r="D74" s="816">
        <v>45505</v>
      </c>
      <c r="E74" s="817" t="s">
        <v>574</v>
      </c>
      <c r="F74" s="818">
        <v>66</v>
      </c>
      <c r="G74" s="818">
        <v>65</v>
      </c>
      <c r="H74" s="819">
        <v>34220.129999999997</v>
      </c>
      <c r="I74" s="819">
        <v>17023.25</v>
      </c>
      <c r="J74" s="819">
        <v>0</v>
      </c>
      <c r="K74" s="819">
        <v>51243.38</v>
      </c>
      <c r="L74" s="819">
        <v>341.21</v>
      </c>
      <c r="M74" s="819">
        <v>0</v>
      </c>
      <c r="N74" s="819">
        <v>0</v>
      </c>
      <c r="O74" s="819">
        <v>0</v>
      </c>
      <c r="P74" s="819">
        <v>0</v>
      </c>
      <c r="Q74" s="819">
        <v>0</v>
      </c>
      <c r="R74" s="819">
        <v>0</v>
      </c>
      <c r="S74" s="819">
        <v>51243.38</v>
      </c>
      <c r="T74" s="819">
        <v>23872.85</v>
      </c>
      <c r="U74" s="819">
        <v>288</v>
      </c>
      <c r="V74" s="819">
        <v>0</v>
      </c>
      <c r="W74" s="819">
        <v>0</v>
      </c>
      <c r="X74" s="819">
        <v>0</v>
      </c>
      <c r="Y74" s="819">
        <v>0</v>
      </c>
      <c r="Z74" s="819">
        <v>0</v>
      </c>
      <c r="AA74" s="819">
        <v>24160.85</v>
      </c>
      <c r="AB74" s="819">
        <v>0</v>
      </c>
      <c r="AC74" s="819">
        <v>0</v>
      </c>
      <c r="AD74" s="819">
        <v>0</v>
      </c>
      <c r="AE74" s="819">
        <v>0</v>
      </c>
      <c r="AF74" s="819">
        <v>0</v>
      </c>
      <c r="AG74" s="819">
        <v>0</v>
      </c>
      <c r="AH74" s="819">
        <v>0</v>
      </c>
      <c r="AI74" s="819">
        <v>0</v>
      </c>
      <c r="AJ74" s="819">
        <v>0</v>
      </c>
      <c r="AK74" s="819">
        <v>0</v>
      </c>
      <c r="AL74" s="819">
        <v>0</v>
      </c>
      <c r="AM74" s="819">
        <v>0</v>
      </c>
      <c r="AN74" s="819">
        <v>0</v>
      </c>
      <c r="AO74" s="819">
        <v>0</v>
      </c>
      <c r="AP74" s="819">
        <v>0</v>
      </c>
      <c r="AQ74" s="819">
        <v>0</v>
      </c>
      <c r="AR74" s="819">
        <v>0</v>
      </c>
      <c r="AS74" s="819">
        <v>0</v>
      </c>
      <c r="AT74" s="819">
        <v>0</v>
      </c>
      <c r="AU74" s="819">
        <f t="shared" si="1"/>
        <v>0</v>
      </c>
      <c r="AV74" s="819">
        <v>17364.46</v>
      </c>
      <c r="AW74" s="819">
        <v>24160.85</v>
      </c>
      <c r="AX74" s="820">
        <v>72</v>
      </c>
      <c r="AY74" s="820">
        <v>360</v>
      </c>
      <c r="AZ74" s="819">
        <v>222585.66</v>
      </c>
      <c r="BA74" s="819">
        <v>71100</v>
      </c>
      <c r="BB74" s="821">
        <v>90</v>
      </c>
      <c r="BC74" s="821">
        <v>64.865037974683503</v>
      </c>
      <c r="BD74" s="821">
        <v>10.1</v>
      </c>
      <c r="BE74" s="821"/>
      <c r="BF74" s="817" t="s">
        <v>815</v>
      </c>
      <c r="BG74" s="814"/>
      <c r="BH74" s="817" t="s">
        <v>540</v>
      </c>
      <c r="BI74" s="817" t="s">
        <v>883</v>
      </c>
      <c r="BJ74" s="817"/>
      <c r="BK74" s="817" t="s">
        <v>338</v>
      </c>
      <c r="BL74" s="815" t="s">
        <v>2</v>
      </c>
      <c r="BM74" s="821">
        <v>420623.29076271999</v>
      </c>
      <c r="BN74" s="815" t="s">
        <v>740</v>
      </c>
      <c r="BO74" s="821"/>
      <c r="BP74" s="822">
        <v>36756</v>
      </c>
      <c r="BQ74" s="822">
        <v>47696</v>
      </c>
      <c r="BR74" s="821">
        <v>16672.13</v>
      </c>
      <c r="BS74" s="821">
        <v>65</v>
      </c>
      <c r="BT74" s="821">
        <v>28.51</v>
      </c>
    </row>
    <row r="75" spans="1:72" s="802" customFormat="1" ht="18.2" customHeight="1" x14ac:dyDescent="0.15">
      <c r="A75" s="805">
        <v>73</v>
      </c>
      <c r="B75" s="806" t="s">
        <v>413</v>
      </c>
      <c r="C75" s="806" t="s">
        <v>25</v>
      </c>
      <c r="D75" s="807">
        <v>45505</v>
      </c>
      <c r="E75" s="808" t="s">
        <v>544</v>
      </c>
      <c r="F75" s="809">
        <v>99</v>
      </c>
      <c r="G75" s="809">
        <v>98</v>
      </c>
      <c r="H75" s="810">
        <v>34220.129999999997</v>
      </c>
      <c r="I75" s="810">
        <v>22704.43</v>
      </c>
      <c r="J75" s="810">
        <v>0</v>
      </c>
      <c r="K75" s="810">
        <v>56924.56</v>
      </c>
      <c r="L75" s="810">
        <v>341.21</v>
      </c>
      <c r="M75" s="810">
        <v>0</v>
      </c>
      <c r="N75" s="810">
        <v>0</v>
      </c>
      <c r="O75" s="810">
        <v>0</v>
      </c>
      <c r="P75" s="810">
        <v>0</v>
      </c>
      <c r="Q75" s="810">
        <v>0</v>
      </c>
      <c r="R75" s="810">
        <v>0</v>
      </c>
      <c r="S75" s="810">
        <v>56924.56</v>
      </c>
      <c r="T75" s="810">
        <v>38897.86</v>
      </c>
      <c r="U75" s="810">
        <v>288</v>
      </c>
      <c r="V75" s="810">
        <v>0</v>
      </c>
      <c r="W75" s="810">
        <v>0</v>
      </c>
      <c r="X75" s="810">
        <v>0</v>
      </c>
      <c r="Y75" s="810">
        <v>0</v>
      </c>
      <c r="Z75" s="810">
        <v>0</v>
      </c>
      <c r="AA75" s="810">
        <v>39185.86</v>
      </c>
      <c r="AB75" s="810">
        <v>0</v>
      </c>
      <c r="AC75" s="810">
        <v>0</v>
      </c>
      <c r="AD75" s="810">
        <v>0</v>
      </c>
      <c r="AE75" s="810">
        <v>0</v>
      </c>
      <c r="AF75" s="810">
        <v>0</v>
      </c>
      <c r="AG75" s="810">
        <v>0</v>
      </c>
      <c r="AH75" s="810">
        <v>0</v>
      </c>
      <c r="AI75" s="810">
        <v>0</v>
      </c>
      <c r="AJ75" s="810">
        <v>0</v>
      </c>
      <c r="AK75" s="810">
        <v>0</v>
      </c>
      <c r="AL75" s="810">
        <v>0</v>
      </c>
      <c r="AM75" s="810">
        <v>0</v>
      </c>
      <c r="AN75" s="810">
        <v>0</v>
      </c>
      <c r="AO75" s="810">
        <v>0</v>
      </c>
      <c r="AP75" s="810">
        <v>0</v>
      </c>
      <c r="AQ75" s="810">
        <v>0</v>
      </c>
      <c r="AR75" s="810">
        <v>0</v>
      </c>
      <c r="AS75" s="810">
        <v>0</v>
      </c>
      <c r="AT75" s="810">
        <v>0</v>
      </c>
      <c r="AU75" s="810">
        <f t="shared" si="1"/>
        <v>0</v>
      </c>
      <c r="AV75" s="810">
        <v>23045.64</v>
      </c>
      <c r="AW75" s="810">
        <v>39185.86</v>
      </c>
      <c r="AX75" s="811">
        <v>72</v>
      </c>
      <c r="AY75" s="811">
        <v>360</v>
      </c>
      <c r="AZ75" s="810">
        <v>222585.66</v>
      </c>
      <c r="BA75" s="810">
        <v>71100</v>
      </c>
      <c r="BB75" s="812">
        <v>90</v>
      </c>
      <c r="BC75" s="812">
        <v>72.056405063291095</v>
      </c>
      <c r="BD75" s="812">
        <v>10.1</v>
      </c>
      <c r="BE75" s="812"/>
      <c r="BF75" s="808" t="s">
        <v>815</v>
      </c>
      <c r="BG75" s="805"/>
      <c r="BH75" s="808" t="s">
        <v>540</v>
      </c>
      <c r="BI75" s="808" t="s">
        <v>883</v>
      </c>
      <c r="BJ75" s="808"/>
      <c r="BK75" s="808" t="s">
        <v>338</v>
      </c>
      <c r="BL75" s="806" t="s">
        <v>2</v>
      </c>
      <c r="BM75" s="812">
        <v>467256.37052863999</v>
      </c>
      <c r="BN75" s="806" t="s">
        <v>740</v>
      </c>
      <c r="BO75" s="812"/>
      <c r="BP75" s="813">
        <v>36756</v>
      </c>
      <c r="BQ75" s="813">
        <v>47696</v>
      </c>
      <c r="BR75" s="812">
        <v>25036.54</v>
      </c>
      <c r="BS75" s="812">
        <v>65</v>
      </c>
      <c r="BT75" s="812">
        <v>28.51</v>
      </c>
    </row>
    <row r="76" spans="1:72" s="802" customFormat="1" ht="18.2" customHeight="1" x14ac:dyDescent="0.15">
      <c r="A76" s="814">
        <v>74</v>
      </c>
      <c r="B76" s="815" t="s">
        <v>413</v>
      </c>
      <c r="C76" s="815" t="s">
        <v>25</v>
      </c>
      <c r="D76" s="816">
        <v>45505</v>
      </c>
      <c r="E76" s="817" t="s">
        <v>888</v>
      </c>
      <c r="F76" s="818">
        <v>5</v>
      </c>
      <c r="G76" s="818">
        <v>4</v>
      </c>
      <c r="H76" s="819">
        <v>34220.129999999997</v>
      </c>
      <c r="I76" s="819">
        <v>1202.0999999999999</v>
      </c>
      <c r="J76" s="819">
        <v>0</v>
      </c>
      <c r="K76" s="819">
        <v>35422.230000000003</v>
      </c>
      <c r="L76" s="819">
        <v>341.21</v>
      </c>
      <c r="M76" s="819">
        <v>0</v>
      </c>
      <c r="N76" s="819">
        <v>0</v>
      </c>
      <c r="O76" s="819">
        <v>0</v>
      </c>
      <c r="P76" s="819">
        <v>0</v>
      </c>
      <c r="Q76" s="819">
        <v>0</v>
      </c>
      <c r="R76" s="819">
        <v>0</v>
      </c>
      <c r="S76" s="819">
        <v>35422.230000000003</v>
      </c>
      <c r="T76" s="819">
        <v>883.55</v>
      </c>
      <c r="U76" s="819">
        <v>288</v>
      </c>
      <c r="V76" s="819">
        <v>0</v>
      </c>
      <c r="W76" s="819">
        <v>0</v>
      </c>
      <c r="X76" s="819">
        <v>0</v>
      </c>
      <c r="Y76" s="819">
        <v>0</v>
      </c>
      <c r="Z76" s="819">
        <v>0</v>
      </c>
      <c r="AA76" s="819">
        <v>1171.55</v>
      </c>
      <c r="AB76" s="819">
        <v>0</v>
      </c>
      <c r="AC76" s="819">
        <v>0</v>
      </c>
      <c r="AD76" s="819">
        <v>0</v>
      </c>
      <c r="AE76" s="819">
        <v>0</v>
      </c>
      <c r="AF76" s="819">
        <v>0</v>
      </c>
      <c r="AG76" s="819">
        <v>0</v>
      </c>
      <c r="AH76" s="819">
        <v>0</v>
      </c>
      <c r="AI76" s="819">
        <v>0</v>
      </c>
      <c r="AJ76" s="819">
        <v>0</v>
      </c>
      <c r="AK76" s="819">
        <v>0</v>
      </c>
      <c r="AL76" s="819">
        <v>0</v>
      </c>
      <c r="AM76" s="819">
        <v>0</v>
      </c>
      <c r="AN76" s="819">
        <v>0</v>
      </c>
      <c r="AO76" s="819">
        <v>0</v>
      </c>
      <c r="AP76" s="819">
        <v>0</v>
      </c>
      <c r="AQ76" s="819">
        <v>0</v>
      </c>
      <c r="AR76" s="819">
        <v>0</v>
      </c>
      <c r="AS76" s="819">
        <v>0</v>
      </c>
      <c r="AT76" s="819">
        <v>0</v>
      </c>
      <c r="AU76" s="819">
        <f t="shared" si="1"/>
        <v>0</v>
      </c>
      <c r="AV76" s="819">
        <v>1543.31</v>
      </c>
      <c r="AW76" s="819">
        <v>1171.55</v>
      </c>
      <c r="AX76" s="820">
        <v>72</v>
      </c>
      <c r="AY76" s="820">
        <v>360</v>
      </c>
      <c r="AZ76" s="819">
        <v>222585.66</v>
      </c>
      <c r="BA76" s="819">
        <v>71100</v>
      </c>
      <c r="BB76" s="821">
        <v>90</v>
      </c>
      <c r="BC76" s="821">
        <v>44.838265822784798</v>
      </c>
      <c r="BD76" s="821">
        <v>10.1</v>
      </c>
      <c r="BE76" s="821"/>
      <c r="BF76" s="817" t="s">
        <v>815</v>
      </c>
      <c r="BG76" s="814"/>
      <c r="BH76" s="817" t="s">
        <v>540</v>
      </c>
      <c r="BI76" s="817" t="s">
        <v>883</v>
      </c>
      <c r="BJ76" s="817"/>
      <c r="BK76" s="817" t="s">
        <v>828</v>
      </c>
      <c r="BL76" s="815" t="s">
        <v>2</v>
      </c>
      <c r="BM76" s="821">
        <v>290757.84908711998</v>
      </c>
      <c r="BN76" s="815" t="s">
        <v>740</v>
      </c>
      <c r="BO76" s="821"/>
      <c r="BP76" s="822">
        <v>36756</v>
      </c>
      <c r="BQ76" s="822">
        <v>47696</v>
      </c>
      <c r="BR76" s="821">
        <v>993.64</v>
      </c>
      <c r="BS76" s="821">
        <v>65</v>
      </c>
      <c r="BT76" s="821">
        <v>28.51</v>
      </c>
    </row>
    <row r="77" spans="1:72" s="802" customFormat="1" ht="18.2" customHeight="1" x14ac:dyDescent="0.15">
      <c r="A77" s="805">
        <v>75</v>
      </c>
      <c r="B77" s="806" t="s">
        <v>413</v>
      </c>
      <c r="C77" s="806" t="s">
        <v>25</v>
      </c>
      <c r="D77" s="807">
        <v>45505</v>
      </c>
      <c r="E77" s="808" t="s">
        <v>889</v>
      </c>
      <c r="F77" s="809">
        <v>0</v>
      </c>
      <c r="G77" s="809">
        <v>0</v>
      </c>
      <c r="H77" s="810">
        <v>40652.949999999997</v>
      </c>
      <c r="I77" s="810">
        <v>0</v>
      </c>
      <c r="J77" s="810">
        <v>0.61</v>
      </c>
      <c r="K77" s="810">
        <v>40652.949999999997</v>
      </c>
      <c r="L77" s="810">
        <v>404.05</v>
      </c>
      <c r="M77" s="810">
        <v>0</v>
      </c>
      <c r="N77" s="810">
        <v>0</v>
      </c>
      <c r="O77" s="810">
        <v>0</v>
      </c>
      <c r="P77" s="810">
        <v>404.05</v>
      </c>
      <c r="Q77" s="810">
        <v>0</v>
      </c>
      <c r="R77" s="810">
        <v>0</v>
      </c>
      <c r="S77" s="810">
        <v>40248.9</v>
      </c>
      <c r="T77" s="810">
        <v>0</v>
      </c>
      <c r="U77" s="810">
        <v>345.55</v>
      </c>
      <c r="V77" s="810">
        <v>0</v>
      </c>
      <c r="W77" s="810">
        <v>0</v>
      </c>
      <c r="X77" s="810">
        <v>345.55</v>
      </c>
      <c r="Y77" s="810">
        <v>0</v>
      </c>
      <c r="Z77" s="810">
        <v>0</v>
      </c>
      <c r="AA77" s="810">
        <v>0</v>
      </c>
      <c r="AB77" s="810">
        <v>65</v>
      </c>
      <c r="AC77" s="810">
        <v>0</v>
      </c>
      <c r="AD77" s="810">
        <v>0</v>
      </c>
      <c r="AE77" s="810">
        <v>0</v>
      </c>
      <c r="AF77" s="810">
        <v>0</v>
      </c>
      <c r="AG77" s="810">
        <v>0</v>
      </c>
      <c r="AH77" s="810">
        <v>96.48</v>
      </c>
      <c r="AI77" s="810">
        <v>84.18</v>
      </c>
      <c r="AJ77" s="810">
        <v>0</v>
      </c>
      <c r="AK77" s="810">
        <v>0</v>
      </c>
      <c r="AL77" s="810">
        <v>0</v>
      </c>
      <c r="AM77" s="810">
        <v>0</v>
      </c>
      <c r="AN77" s="810">
        <v>0</v>
      </c>
      <c r="AO77" s="810">
        <v>0</v>
      </c>
      <c r="AP77" s="810">
        <v>0</v>
      </c>
      <c r="AQ77" s="810">
        <v>0</v>
      </c>
      <c r="AR77" s="810">
        <v>0</v>
      </c>
      <c r="AS77" s="810">
        <v>1.2179999999999999E-3</v>
      </c>
      <c r="AT77" s="810">
        <v>0</v>
      </c>
      <c r="AU77" s="810">
        <f t="shared" si="1"/>
        <v>994.64878199999998</v>
      </c>
      <c r="AV77" s="810">
        <v>0</v>
      </c>
      <c r="AW77" s="810">
        <v>0</v>
      </c>
      <c r="AX77" s="811">
        <v>72</v>
      </c>
      <c r="AY77" s="811">
        <v>360</v>
      </c>
      <c r="AZ77" s="810">
        <v>294614.24</v>
      </c>
      <c r="BA77" s="810">
        <v>84000</v>
      </c>
      <c r="BB77" s="812">
        <v>80.38</v>
      </c>
      <c r="BC77" s="812">
        <v>38.514364071428602</v>
      </c>
      <c r="BD77" s="812">
        <v>10.199999999999999</v>
      </c>
      <c r="BE77" s="812"/>
      <c r="BF77" s="808" t="s">
        <v>815</v>
      </c>
      <c r="BG77" s="805"/>
      <c r="BH77" s="808" t="s">
        <v>823</v>
      </c>
      <c r="BI77" s="808" t="s">
        <v>882</v>
      </c>
      <c r="BJ77" s="808"/>
      <c r="BK77" s="808" t="s">
        <v>309</v>
      </c>
      <c r="BL77" s="806" t="s">
        <v>2</v>
      </c>
      <c r="BM77" s="812">
        <v>330376.81682160002</v>
      </c>
      <c r="BN77" s="806" t="s">
        <v>740</v>
      </c>
      <c r="BO77" s="812"/>
      <c r="BP77" s="813">
        <v>36763</v>
      </c>
      <c r="BQ77" s="813">
        <v>47696</v>
      </c>
      <c r="BR77" s="812">
        <v>0</v>
      </c>
      <c r="BS77" s="812">
        <v>65</v>
      </c>
      <c r="BT77" s="812">
        <v>0</v>
      </c>
    </row>
    <row r="78" spans="1:72" s="802" customFormat="1" ht="18.2" customHeight="1" x14ac:dyDescent="0.15">
      <c r="A78" s="814">
        <v>76</v>
      </c>
      <c r="B78" s="815" t="s">
        <v>413</v>
      </c>
      <c r="C78" s="815" t="s">
        <v>25</v>
      </c>
      <c r="D78" s="816">
        <v>45505</v>
      </c>
      <c r="E78" s="817" t="s">
        <v>890</v>
      </c>
      <c r="F78" s="818">
        <v>0</v>
      </c>
      <c r="G78" s="818">
        <v>0</v>
      </c>
      <c r="H78" s="819">
        <v>40316.26</v>
      </c>
      <c r="I78" s="819">
        <v>0</v>
      </c>
      <c r="J78" s="819">
        <v>0</v>
      </c>
      <c r="K78" s="819">
        <v>40316.26</v>
      </c>
      <c r="L78" s="819">
        <v>403.35</v>
      </c>
      <c r="M78" s="819">
        <v>0</v>
      </c>
      <c r="N78" s="819">
        <v>0</v>
      </c>
      <c r="O78" s="819">
        <v>0</v>
      </c>
      <c r="P78" s="819">
        <v>403.35</v>
      </c>
      <c r="Q78" s="819">
        <v>0</v>
      </c>
      <c r="R78" s="819">
        <v>0</v>
      </c>
      <c r="S78" s="819">
        <v>39912.910000000003</v>
      </c>
      <c r="T78" s="819">
        <v>0</v>
      </c>
      <c r="U78" s="819">
        <v>342.69</v>
      </c>
      <c r="V78" s="819">
        <v>0</v>
      </c>
      <c r="W78" s="819">
        <v>0</v>
      </c>
      <c r="X78" s="819">
        <v>342.69</v>
      </c>
      <c r="Y78" s="819">
        <v>0</v>
      </c>
      <c r="Z78" s="819">
        <v>0</v>
      </c>
      <c r="AA78" s="819">
        <v>0</v>
      </c>
      <c r="AB78" s="819">
        <v>65</v>
      </c>
      <c r="AC78" s="819">
        <v>0</v>
      </c>
      <c r="AD78" s="819">
        <v>0</v>
      </c>
      <c r="AE78" s="819">
        <v>0</v>
      </c>
      <c r="AF78" s="819">
        <v>0</v>
      </c>
      <c r="AG78" s="819">
        <v>0</v>
      </c>
      <c r="AH78" s="819">
        <v>96.09</v>
      </c>
      <c r="AI78" s="819">
        <v>83.89</v>
      </c>
      <c r="AJ78" s="819">
        <v>0</v>
      </c>
      <c r="AK78" s="819">
        <v>0</v>
      </c>
      <c r="AL78" s="819">
        <v>0</v>
      </c>
      <c r="AM78" s="819">
        <v>0</v>
      </c>
      <c r="AN78" s="819">
        <v>0</v>
      </c>
      <c r="AO78" s="819">
        <v>0</v>
      </c>
      <c r="AP78" s="819">
        <v>0</v>
      </c>
      <c r="AQ78" s="819">
        <v>1.2E-2</v>
      </c>
      <c r="AR78" s="819">
        <v>0</v>
      </c>
      <c r="AS78" s="819">
        <v>0</v>
      </c>
      <c r="AT78" s="819">
        <v>0</v>
      </c>
      <c r="AU78" s="819">
        <f t="shared" si="1"/>
        <v>991.03200000000004</v>
      </c>
      <c r="AV78" s="819">
        <v>0</v>
      </c>
      <c r="AW78" s="819">
        <v>0</v>
      </c>
      <c r="AX78" s="820">
        <v>71</v>
      </c>
      <c r="AY78" s="820">
        <v>360</v>
      </c>
      <c r="AZ78" s="819">
        <v>294614.24</v>
      </c>
      <c r="BA78" s="819">
        <v>83600</v>
      </c>
      <c r="BB78" s="821">
        <v>80</v>
      </c>
      <c r="BC78" s="821">
        <v>38.194172248803802</v>
      </c>
      <c r="BD78" s="821">
        <v>10.199999999999999</v>
      </c>
      <c r="BE78" s="821"/>
      <c r="BF78" s="817" t="s">
        <v>815</v>
      </c>
      <c r="BG78" s="814"/>
      <c r="BH78" s="817" t="s">
        <v>823</v>
      </c>
      <c r="BI78" s="817" t="s">
        <v>882</v>
      </c>
      <c r="BJ78" s="817"/>
      <c r="BK78" s="817" t="s">
        <v>309</v>
      </c>
      <c r="BL78" s="815" t="s">
        <v>2</v>
      </c>
      <c r="BM78" s="821">
        <v>327618.89532104001</v>
      </c>
      <c r="BN78" s="815" t="s">
        <v>740</v>
      </c>
      <c r="BO78" s="821"/>
      <c r="BP78" s="822">
        <v>36763</v>
      </c>
      <c r="BQ78" s="822">
        <v>47696</v>
      </c>
      <c r="BR78" s="821">
        <v>0</v>
      </c>
      <c r="BS78" s="821">
        <v>65</v>
      </c>
      <c r="BT78" s="821">
        <v>0</v>
      </c>
    </row>
    <row r="79" spans="1:72" s="802" customFormat="1" ht="18.2" customHeight="1" x14ac:dyDescent="0.15">
      <c r="A79" s="805">
        <v>77</v>
      </c>
      <c r="B79" s="806" t="s">
        <v>413</v>
      </c>
      <c r="C79" s="806" t="s">
        <v>25</v>
      </c>
      <c r="D79" s="807">
        <v>45505</v>
      </c>
      <c r="E79" s="808" t="s">
        <v>891</v>
      </c>
      <c r="F79" s="809">
        <v>0</v>
      </c>
      <c r="G79" s="809">
        <v>0</v>
      </c>
      <c r="H79" s="810">
        <v>42592.38</v>
      </c>
      <c r="I79" s="810">
        <v>0</v>
      </c>
      <c r="J79" s="810">
        <v>0</v>
      </c>
      <c r="K79" s="810">
        <v>42592.38</v>
      </c>
      <c r="L79" s="810">
        <v>427.29</v>
      </c>
      <c r="M79" s="810">
        <v>0</v>
      </c>
      <c r="N79" s="810">
        <v>0</v>
      </c>
      <c r="O79" s="810">
        <v>0</v>
      </c>
      <c r="P79" s="810">
        <v>427.29</v>
      </c>
      <c r="Q79" s="810">
        <v>0</v>
      </c>
      <c r="R79" s="810">
        <v>0</v>
      </c>
      <c r="S79" s="810">
        <v>42557.7</v>
      </c>
      <c r="T79" s="810">
        <v>0</v>
      </c>
      <c r="U79" s="810">
        <v>365.37</v>
      </c>
      <c r="V79" s="810">
        <v>0</v>
      </c>
      <c r="W79" s="810">
        <v>0</v>
      </c>
      <c r="X79" s="810">
        <v>365.37</v>
      </c>
      <c r="Y79" s="810">
        <v>0</v>
      </c>
      <c r="Z79" s="810">
        <v>0</v>
      </c>
      <c r="AA79" s="810">
        <v>0</v>
      </c>
      <c r="AB79" s="810">
        <v>65</v>
      </c>
      <c r="AC79" s="810">
        <v>0</v>
      </c>
      <c r="AD79" s="810">
        <v>0</v>
      </c>
      <c r="AE79" s="810">
        <v>0</v>
      </c>
      <c r="AF79" s="810">
        <v>0</v>
      </c>
      <c r="AG79" s="810">
        <v>0</v>
      </c>
      <c r="AH79" s="810">
        <v>101.22</v>
      </c>
      <c r="AI79" s="810">
        <v>88.25</v>
      </c>
      <c r="AJ79" s="810">
        <v>0</v>
      </c>
      <c r="AK79" s="810">
        <v>0</v>
      </c>
      <c r="AL79" s="810">
        <v>0</v>
      </c>
      <c r="AM79" s="810">
        <v>0</v>
      </c>
      <c r="AN79" s="810">
        <v>0</v>
      </c>
      <c r="AO79" s="810">
        <v>0</v>
      </c>
      <c r="AP79" s="810">
        <v>0</v>
      </c>
      <c r="AQ79" s="810">
        <v>0</v>
      </c>
      <c r="AR79" s="810">
        <v>0</v>
      </c>
      <c r="AS79" s="810">
        <v>1.5838000000000001E-2</v>
      </c>
      <c r="AT79" s="810">
        <v>0</v>
      </c>
      <c r="AU79" s="810">
        <f t="shared" si="1"/>
        <v>1047.1141620000001</v>
      </c>
      <c r="AV79" s="810">
        <v>0</v>
      </c>
      <c r="AW79" s="810">
        <v>0</v>
      </c>
      <c r="AX79" s="811">
        <v>72</v>
      </c>
      <c r="AY79" s="811">
        <v>360</v>
      </c>
      <c r="AZ79" s="810">
        <v>320000</v>
      </c>
      <c r="BA79" s="810">
        <v>88825</v>
      </c>
      <c r="BB79" s="812">
        <v>78.260000000000005</v>
      </c>
      <c r="BC79" s="812">
        <v>37.4958131381931</v>
      </c>
      <c r="BD79" s="812">
        <v>10.199999999999999</v>
      </c>
      <c r="BE79" s="812"/>
      <c r="BF79" s="808" t="s">
        <v>815</v>
      </c>
      <c r="BG79" s="805"/>
      <c r="BH79" s="808" t="s">
        <v>823</v>
      </c>
      <c r="BI79" s="808" t="s">
        <v>873</v>
      </c>
      <c r="BJ79" s="808"/>
      <c r="BK79" s="808" t="s">
        <v>309</v>
      </c>
      <c r="BL79" s="806" t="s">
        <v>2</v>
      </c>
      <c r="BM79" s="812">
        <v>349328.24144880002</v>
      </c>
      <c r="BN79" s="806" t="s">
        <v>740</v>
      </c>
      <c r="BO79" s="812"/>
      <c r="BP79" s="813">
        <v>36763</v>
      </c>
      <c r="BQ79" s="813">
        <v>47696</v>
      </c>
      <c r="BR79" s="812">
        <v>0</v>
      </c>
      <c r="BS79" s="812">
        <v>65</v>
      </c>
      <c r="BT79" s="812">
        <v>0</v>
      </c>
    </row>
    <row r="80" spans="1:72" s="802" customFormat="1" ht="18.2" customHeight="1" x14ac:dyDescent="0.15">
      <c r="A80" s="814">
        <v>78</v>
      </c>
      <c r="B80" s="815" t="s">
        <v>413</v>
      </c>
      <c r="C80" s="815" t="s">
        <v>25</v>
      </c>
      <c r="D80" s="816">
        <v>45505</v>
      </c>
      <c r="E80" s="817" t="s">
        <v>892</v>
      </c>
      <c r="F80" s="818">
        <v>0</v>
      </c>
      <c r="G80" s="818">
        <v>0</v>
      </c>
      <c r="H80" s="819">
        <v>19911.689999999999</v>
      </c>
      <c r="I80" s="819">
        <v>0</v>
      </c>
      <c r="J80" s="819">
        <v>0</v>
      </c>
      <c r="K80" s="819">
        <v>19911.689999999999</v>
      </c>
      <c r="L80" s="819">
        <v>457.47</v>
      </c>
      <c r="M80" s="819">
        <v>0</v>
      </c>
      <c r="N80" s="819">
        <v>0</v>
      </c>
      <c r="O80" s="819">
        <v>0</v>
      </c>
      <c r="P80" s="819">
        <v>457.47</v>
      </c>
      <c r="Q80" s="819">
        <v>0</v>
      </c>
      <c r="R80" s="819">
        <v>0</v>
      </c>
      <c r="S80" s="819">
        <v>19454.22</v>
      </c>
      <c r="T80" s="819">
        <v>0</v>
      </c>
      <c r="U80" s="819">
        <v>169.25</v>
      </c>
      <c r="V80" s="819">
        <v>0</v>
      </c>
      <c r="W80" s="819">
        <v>0</v>
      </c>
      <c r="X80" s="819">
        <v>169.25</v>
      </c>
      <c r="Y80" s="819">
        <v>0</v>
      </c>
      <c r="Z80" s="819">
        <v>0</v>
      </c>
      <c r="AA80" s="819">
        <v>0</v>
      </c>
      <c r="AB80" s="819">
        <v>65</v>
      </c>
      <c r="AC80" s="819">
        <v>0</v>
      </c>
      <c r="AD80" s="819">
        <v>0</v>
      </c>
      <c r="AE80" s="819">
        <v>0</v>
      </c>
      <c r="AF80" s="819">
        <v>0</v>
      </c>
      <c r="AG80" s="819">
        <v>0</v>
      </c>
      <c r="AH80" s="819">
        <v>82.96</v>
      </c>
      <c r="AI80" s="819">
        <v>84.99</v>
      </c>
      <c r="AJ80" s="819">
        <v>0</v>
      </c>
      <c r="AK80" s="819">
        <v>0</v>
      </c>
      <c r="AL80" s="819">
        <v>0</v>
      </c>
      <c r="AM80" s="819">
        <v>0</v>
      </c>
      <c r="AN80" s="819">
        <v>0</v>
      </c>
      <c r="AO80" s="819">
        <v>0</v>
      </c>
      <c r="AP80" s="819">
        <v>0</v>
      </c>
      <c r="AQ80" s="819">
        <v>2.1000000000000001E-2</v>
      </c>
      <c r="AR80" s="819">
        <v>0</v>
      </c>
      <c r="AS80" s="819">
        <v>0</v>
      </c>
      <c r="AT80" s="819">
        <v>0</v>
      </c>
      <c r="AU80" s="819">
        <f t="shared" si="1"/>
        <v>859.69100000000003</v>
      </c>
      <c r="AV80" s="819">
        <v>0</v>
      </c>
      <c r="AW80" s="819">
        <v>0</v>
      </c>
      <c r="AX80" s="820">
        <v>36</v>
      </c>
      <c r="AY80" s="820">
        <v>360</v>
      </c>
      <c r="AZ80" s="819">
        <v>294614.24</v>
      </c>
      <c r="BA80" s="819">
        <v>70230</v>
      </c>
      <c r="BB80" s="821">
        <v>67.209999999999994</v>
      </c>
      <c r="BC80" s="821">
        <v>18.617658069201202</v>
      </c>
      <c r="BD80" s="821">
        <v>10.199999999999999</v>
      </c>
      <c r="BE80" s="821"/>
      <c r="BF80" s="817" t="s">
        <v>815</v>
      </c>
      <c r="BG80" s="814"/>
      <c r="BH80" s="817" t="s">
        <v>823</v>
      </c>
      <c r="BI80" s="817" t="s">
        <v>882</v>
      </c>
      <c r="BJ80" s="817"/>
      <c r="BK80" s="817" t="s">
        <v>309</v>
      </c>
      <c r="BL80" s="815" t="s">
        <v>2</v>
      </c>
      <c r="BM80" s="821">
        <v>159686.93001168</v>
      </c>
      <c r="BN80" s="815" t="s">
        <v>740</v>
      </c>
      <c r="BO80" s="821"/>
      <c r="BP80" s="822">
        <v>36763</v>
      </c>
      <c r="BQ80" s="822">
        <v>47696</v>
      </c>
      <c r="BR80" s="821">
        <v>0</v>
      </c>
      <c r="BS80" s="821">
        <v>65</v>
      </c>
      <c r="BT80" s="821">
        <v>0</v>
      </c>
    </row>
    <row r="81" spans="1:72" s="802" customFormat="1" ht="18.2" customHeight="1" x14ac:dyDescent="0.15">
      <c r="A81" s="805">
        <v>79</v>
      </c>
      <c r="B81" s="806" t="s">
        <v>413</v>
      </c>
      <c r="C81" s="806" t="s">
        <v>25</v>
      </c>
      <c r="D81" s="807">
        <v>45505</v>
      </c>
      <c r="E81" s="808" t="s">
        <v>893</v>
      </c>
      <c r="F81" s="809">
        <v>1</v>
      </c>
      <c r="G81" s="809">
        <v>2</v>
      </c>
      <c r="H81" s="810">
        <v>33507.54</v>
      </c>
      <c r="I81" s="810">
        <v>481.16</v>
      </c>
      <c r="J81" s="810">
        <v>0</v>
      </c>
      <c r="K81" s="810">
        <v>33988.699999999997</v>
      </c>
      <c r="L81" s="810">
        <v>347.19</v>
      </c>
      <c r="M81" s="810">
        <v>0</v>
      </c>
      <c r="N81" s="810">
        <v>0</v>
      </c>
      <c r="O81" s="810">
        <v>295.83999999999997</v>
      </c>
      <c r="P81" s="810">
        <v>298.73</v>
      </c>
      <c r="Q81" s="810">
        <v>0</v>
      </c>
      <c r="R81" s="810">
        <v>0</v>
      </c>
      <c r="S81" s="810">
        <v>33394.129999999997</v>
      </c>
      <c r="T81" s="810">
        <v>284.92</v>
      </c>
      <c r="U81" s="810">
        <v>282.02</v>
      </c>
      <c r="V81" s="810">
        <v>0</v>
      </c>
      <c r="W81" s="810">
        <v>284.92</v>
      </c>
      <c r="X81" s="810">
        <v>282.02</v>
      </c>
      <c r="Y81" s="810">
        <v>0</v>
      </c>
      <c r="Z81" s="810">
        <v>0</v>
      </c>
      <c r="AA81" s="810">
        <v>0</v>
      </c>
      <c r="AB81" s="810">
        <v>65</v>
      </c>
      <c r="AC81" s="810">
        <v>0</v>
      </c>
      <c r="AD81" s="810">
        <v>0</v>
      </c>
      <c r="AE81" s="810">
        <v>0</v>
      </c>
      <c r="AF81" s="810">
        <v>28.46</v>
      </c>
      <c r="AG81" s="810">
        <v>0</v>
      </c>
      <c r="AH81" s="810">
        <v>82.41</v>
      </c>
      <c r="AI81" s="810">
        <v>72.47</v>
      </c>
      <c r="AJ81" s="810">
        <v>65</v>
      </c>
      <c r="AK81" s="810">
        <v>0</v>
      </c>
      <c r="AL81" s="810">
        <v>0</v>
      </c>
      <c r="AM81" s="810">
        <v>28.46</v>
      </c>
      <c r="AN81" s="810">
        <v>0</v>
      </c>
      <c r="AO81" s="810">
        <v>82.41</v>
      </c>
      <c r="AP81" s="810">
        <v>72.47</v>
      </c>
      <c r="AQ81" s="810">
        <v>2E-3</v>
      </c>
      <c r="AR81" s="810">
        <v>0</v>
      </c>
      <c r="AS81" s="810">
        <v>0</v>
      </c>
      <c r="AT81" s="810">
        <v>0</v>
      </c>
      <c r="AU81" s="810">
        <f t="shared" si="1"/>
        <v>1658.192</v>
      </c>
      <c r="AV81" s="810">
        <v>233.78</v>
      </c>
      <c r="AW81" s="810">
        <v>0</v>
      </c>
      <c r="AX81" s="811">
        <v>72</v>
      </c>
      <c r="AY81" s="811">
        <v>360</v>
      </c>
      <c r="AZ81" s="810">
        <v>222939.58</v>
      </c>
      <c r="BA81" s="810">
        <v>71100</v>
      </c>
      <c r="BB81" s="812">
        <v>90</v>
      </c>
      <c r="BC81" s="812">
        <v>42.271050632911397</v>
      </c>
      <c r="BD81" s="812">
        <v>10.1</v>
      </c>
      <c r="BE81" s="812"/>
      <c r="BF81" s="808" t="s">
        <v>815</v>
      </c>
      <c r="BG81" s="805"/>
      <c r="BH81" s="808" t="s">
        <v>540</v>
      </c>
      <c r="BI81" s="808" t="s">
        <v>883</v>
      </c>
      <c r="BJ81" s="808"/>
      <c r="BK81" s="808" t="s">
        <v>828</v>
      </c>
      <c r="BL81" s="806" t="s">
        <v>2</v>
      </c>
      <c r="BM81" s="812">
        <v>274110.50662072003</v>
      </c>
      <c r="BN81" s="806" t="s">
        <v>740</v>
      </c>
      <c r="BO81" s="812"/>
      <c r="BP81" s="813">
        <v>36769</v>
      </c>
      <c r="BQ81" s="813">
        <v>47696</v>
      </c>
      <c r="BR81" s="812">
        <v>0</v>
      </c>
      <c r="BS81" s="812">
        <v>65</v>
      </c>
      <c r="BT81" s="812">
        <v>28.46</v>
      </c>
    </row>
    <row r="82" spans="1:72" s="802" customFormat="1" ht="18.2" customHeight="1" x14ac:dyDescent="0.15">
      <c r="A82" s="814">
        <v>80</v>
      </c>
      <c r="B82" s="815" t="s">
        <v>413</v>
      </c>
      <c r="C82" s="815" t="s">
        <v>25</v>
      </c>
      <c r="D82" s="816">
        <v>45505</v>
      </c>
      <c r="E82" s="817" t="s">
        <v>894</v>
      </c>
      <c r="F82" s="818">
        <v>1</v>
      </c>
      <c r="G82" s="818">
        <v>0</v>
      </c>
      <c r="H82" s="819">
        <v>33900.800000000003</v>
      </c>
      <c r="I82" s="819">
        <v>0</v>
      </c>
      <c r="J82" s="819">
        <v>0</v>
      </c>
      <c r="K82" s="819">
        <v>33900.800000000003</v>
      </c>
      <c r="L82" s="819">
        <v>415.98</v>
      </c>
      <c r="M82" s="819">
        <v>0</v>
      </c>
      <c r="N82" s="819">
        <v>0</v>
      </c>
      <c r="O82" s="819">
        <v>0</v>
      </c>
      <c r="P82" s="819">
        <v>0</v>
      </c>
      <c r="Q82" s="819">
        <v>49.3</v>
      </c>
      <c r="R82" s="819">
        <v>0</v>
      </c>
      <c r="S82" s="819">
        <v>33851.5</v>
      </c>
      <c r="T82" s="819">
        <v>0</v>
      </c>
      <c r="U82" s="819">
        <v>284.92</v>
      </c>
      <c r="V82" s="819">
        <v>0</v>
      </c>
      <c r="W82" s="819">
        <v>0</v>
      </c>
      <c r="X82" s="819">
        <v>0</v>
      </c>
      <c r="Y82" s="819">
        <v>0</v>
      </c>
      <c r="Z82" s="819">
        <v>0</v>
      </c>
      <c r="AA82" s="819">
        <v>284.92</v>
      </c>
      <c r="AB82" s="819">
        <v>0</v>
      </c>
      <c r="AC82" s="819">
        <v>0</v>
      </c>
      <c r="AD82" s="819">
        <v>0</v>
      </c>
      <c r="AE82" s="819">
        <v>0</v>
      </c>
      <c r="AF82" s="819">
        <v>0</v>
      </c>
      <c r="AG82" s="819">
        <v>0</v>
      </c>
      <c r="AH82" s="819">
        <v>0</v>
      </c>
      <c r="AI82" s="819">
        <v>0</v>
      </c>
      <c r="AJ82" s="819">
        <v>0</v>
      </c>
      <c r="AK82" s="819">
        <v>0</v>
      </c>
      <c r="AL82" s="819">
        <v>0</v>
      </c>
      <c r="AM82" s="819">
        <v>0</v>
      </c>
      <c r="AN82" s="819">
        <v>0</v>
      </c>
      <c r="AO82" s="819">
        <v>0</v>
      </c>
      <c r="AP82" s="819">
        <v>0.52</v>
      </c>
      <c r="AQ82" s="819">
        <v>0</v>
      </c>
      <c r="AR82" s="819">
        <v>0</v>
      </c>
      <c r="AS82" s="819">
        <v>49.342474000000003</v>
      </c>
      <c r="AT82" s="819">
        <v>0</v>
      </c>
      <c r="AU82" s="819">
        <f t="shared" si="1"/>
        <v>0.47752599999999745</v>
      </c>
      <c r="AV82" s="819">
        <v>415.98</v>
      </c>
      <c r="AW82" s="819">
        <v>284.92</v>
      </c>
      <c r="AX82" s="820">
        <v>73</v>
      </c>
      <c r="AY82" s="820">
        <v>360</v>
      </c>
      <c r="AZ82" s="819">
        <v>250448.44</v>
      </c>
      <c r="BA82" s="819">
        <v>79200</v>
      </c>
      <c r="BB82" s="821">
        <v>90</v>
      </c>
      <c r="BC82" s="821">
        <v>38.467613636363602</v>
      </c>
      <c r="BD82" s="821">
        <v>10.1</v>
      </c>
      <c r="BE82" s="821"/>
      <c r="BF82" s="817" t="s">
        <v>815</v>
      </c>
      <c r="BG82" s="814"/>
      <c r="BH82" s="817" t="s">
        <v>540</v>
      </c>
      <c r="BI82" s="817" t="s">
        <v>883</v>
      </c>
      <c r="BJ82" s="817"/>
      <c r="BK82" s="817" t="s">
        <v>828</v>
      </c>
      <c r="BL82" s="815" t="s">
        <v>2</v>
      </c>
      <c r="BM82" s="821">
        <v>277864.75691599998</v>
      </c>
      <c r="BN82" s="815" t="s">
        <v>740</v>
      </c>
      <c r="BO82" s="821"/>
      <c r="BP82" s="822">
        <v>36802</v>
      </c>
      <c r="BQ82" s="822">
        <v>47756</v>
      </c>
      <c r="BR82" s="821">
        <v>231.12</v>
      </c>
      <c r="BS82" s="821">
        <v>65</v>
      </c>
      <c r="BT82" s="821">
        <v>28.22</v>
      </c>
    </row>
    <row r="83" spans="1:72" s="802" customFormat="1" ht="18.2" customHeight="1" x14ac:dyDescent="0.15">
      <c r="A83" s="805">
        <v>81</v>
      </c>
      <c r="B83" s="806" t="s">
        <v>413</v>
      </c>
      <c r="C83" s="806" t="s">
        <v>25</v>
      </c>
      <c r="D83" s="807">
        <v>45505</v>
      </c>
      <c r="E83" s="808" t="s">
        <v>895</v>
      </c>
      <c r="F83" s="809">
        <v>0</v>
      </c>
      <c r="G83" s="809">
        <v>0</v>
      </c>
      <c r="H83" s="810">
        <v>34888.44</v>
      </c>
      <c r="I83" s="810">
        <v>0</v>
      </c>
      <c r="J83" s="810">
        <v>0</v>
      </c>
      <c r="K83" s="810">
        <v>34888.44</v>
      </c>
      <c r="L83" s="810">
        <v>335.57</v>
      </c>
      <c r="M83" s="810">
        <v>0</v>
      </c>
      <c r="N83" s="810">
        <v>0</v>
      </c>
      <c r="O83" s="810">
        <v>0</v>
      </c>
      <c r="P83" s="810">
        <v>335.57</v>
      </c>
      <c r="Q83" s="810">
        <v>0</v>
      </c>
      <c r="R83" s="810">
        <v>0</v>
      </c>
      <c r="S83" s="810">
        <v>34552.870000000003</v>
      </c>
      <c r="T83" s="810">
        <v>0</v>
      </c>
      <c r="U83" s="810">
        <v>293.64</v>
      </c>
      <c r="V83" s="810">
        <v>0</v>
      </c>
      <c r="W83" s="810">
        <v>0</v>
      </c>
      <c r="X83" s="810">
        <v>293.64</v>
      </c>
      <c r="Y83" s="810">
        <v>0</v>
      </c>
      <c r="Z83" s="810">
        <v>0</v>
      </c>
      <c r="AA83" s="810">
        <v>0</v>
      </c>
      <c r="AB83" s="810">
        <v>65</v>
      </c>
      <c r="AC83" s="810">
        <v>0</v>
      </c>
      <c r="AD83" s="810">
        <v>0</v>
      </c>
      <c r="AE83" s="810">
        <v>0</v>
      </c>
      <c r="AF83" s="810">
        <v>0</v>
      </c>
      <c r="AG83" s="810">
        <v>0</v>
      </c>
      <c r="AH83" s="810">
        <v>82.41</v>
      </c>
      <c r="AI83" s="810">
        <v>72.53</v>
      </c>
      <c r="AJ83" s="810">
        <v>0</v>
      </c>
      <c r="AK83" s="810">
        <v>0</v>
      </c>
      <c r="AL83" s="810">
        <v>0</v>
      </c>
      <c r="AM83" s="810">
        <v>0</v>
      </c>
      <c r="AN83" s="810">
        <v>0</v>
      </c>
      <c r="AO83" s="810">
        <v>0</v>
      </c>
      <c r="AP83" s="810">
        <v>0</v>
      </c>
      <c r="AQ83" s="810">
        <v>0</v>
      </c>
      <c r="AR83" s="810">
        <v>0</v>
      </c>
      <c r="AS83" s="810">
        <v>8.8933999999999999E-2</v>
      </c>
      <c r="AT83" s="810">
        <v>0</v>
      </c>
      <c r="AU83" s="810">
        <f t="shared" si="1"/>
        <v>849.06106599999987</v>
      </c>
      <c r="AV83" s="810">
        <v>0</v>
      </c>
      <c r="AW83" s="810">
        <v>0</v>
      </c>
      <c r="AX83" s="811">
        <v>74</v>
      </c>
      <c r="AY83" s="811">
        <v>360</v>
      </c>
      <c r="AZ83" s="810">
        <v>224834.39</v>
      </c>
      <c r="BA83" s="810">
        <v>71100</v>
      </c>
      <c r="BB83" s="812">
        <v>90</v>
      </c>
      <c r="BC83" s="812">
        <v>43.737810126582303</v>
      </c>
      <c r="BD83" s="812">
        <v>10.1</v>
      </c>
      <c r="BE83" s="812"/>
      <c r="BF83" s="808" t="s">
        <v>815</v>
      </c>
      <c r="BG83" s="805"/>
      <c r="BH83" s="808" t="s">
        <v>540</v>
      </c>
      <c r="BI83" s="808" t="s">
        <v>883</v>
      </c>
      <c r="BJ83" s="808"/>
      <c r="BK83" s="808" t="s">
        <v>309</v>
      </c>
      <c r="BL83" s="806" t="s">
        <v>2</v>
      </c>
      <c r="BM83" s="812">
        <v>283621.84314727999</v>
      </c>
      <c r="BN83" s="806" t="s">
        <v>740</v>
      </c>
      <c r="BO83" s="812"/>
      <c r="BP83" s="813">
        <v>36802</v>
      </c>
      <c r="BQ83" s="813">
        <v>47756</v>
      </c>
      <c r="BR83" s="812">
        <v>0</v>
      </c>
      <c r="BS83" s="812">
        <v>65</v>
      </c>
      <c r="BT83" s="812">
        <v>0</v>
      </c>
    </row>
    <row r="84" spans="1:72" s="802" customFormat="1" ht="18.2" customHeight="1" x14ac:dyDescent="0.15">
      <c r="A84" s="814">
        <v>82</v>
      </c>
      <c r="B84" s="815" t="s">
        <v>413</v>
      </c>
      <c r="C84" s="815" t="s">
        <v>25</v>
      </c>
      <c r="D84" s="816">
        <v>45505</v>
      </c>
      <c r="E84" s="817" t="s">
        <v>896</v>
      </c>
      <c r="F84" s="818">
        <v>1</v>
      </c>
      <c r="G84" s="818">
        <v>1</v>
      </c>
      <c r="H84" s="819">
        <v>33836.68</v>
      </c>
      <c r="I84" s="819">
        <v>267.55</v>
      </c>
      <c r="J84" s="819">
        <v>0</v>
      </c>
      <c r="K84" s="819">
        <v>34104.230000000003</v>
      </c>
      <c r="L84" s="819">
        <v>338.23</v>
      </c>
      <c r="M84" s="819">
        <v>0</v>
      </c>
      <c r="N84" s="819">
        <v>0</v>
      </c>
      <c r="O84" s="819">
        <v>0</v>
      </c>
      <c r="P84" s="819">
        <v>273.43</v>
      </c>
      <c r="Q84" s="819">
        <v>0</v>
      </c>
      <c r="R84" s="819">
        <v>0</v>
      </c>
      <c r="S84" s="819">
        <v>33830.800000000003</v>
      </c>
      <c r="T84" s="819">
        <v>0</v>
      </c>
      <c r="U84" s="819">
        <v>284.79000000000002</v>
      </c>
      <c r="V84" s="819">
        <v>0</v>
      </c>
      <c r="W84" s="819">
        <v>0</v>
      </c>
      <c r="X84" s="819">
        <v>284.79000000000002</v>
      </c>
      <c r="Y84" s="819">
        <v>0</v>
      </c>
      <c r="Z84" s="819">
        <v>0</v>
      </c>
      <c r="AA84" s="819">
        <v>0</v>
      </c>
      <c r="AB84" s="819">
        <v>65</v>
      </c>
      <c r="AC84" s="819">
        <v>0</v>
      </c>
      <c r="AD84" s="819">
        <v>0</v>
      </c>
      <c r="AE84" s="819">
        <v>0</v>
      </c>
      <c r="AF84" s="819">
        <v>28.22</v>
      </c>
      <c r="AG84" s="819">
        <v>0</v>
      </c>
      <c r="AH84" s="819">
        <v>81.73</v>
      </c>
      <c r="AI84" s="819">
        <v>76.540000000000006</v>
      </c>
      <c r="AJ84" s="819">
        <v>0</v>
      </c>
      <c r="AK84" s="819">
        <v>0</v>
      </c>
      <c r="AL84" s="819">
        <v>0</v>
      </c>
      <c r="AM84" s="819">
        <v>0</v>
      </c>
      <c r="AN84" s="819">
        <v>0</v>
      </c>
      <c r="AO84" s="819">
        <v>0</v>
      </c>
      <c r="AP84" s="819">
        <v>0</v>
      </c>
      <c r="AQ84" s="819">
        <v>0</v>
      </c>
      <c r="AR84" s="819">
        <v>0</v>
      </c>
      <c r="AS84" s="819">
        <v>0</v>
      </c>
      <c r="AT84" s="819">
        <v>0</v>
      </c>
      <c r="AU84" s="819">
        <f t="shared" si="1"/>
        <v>809.71</v>
      </c>
      <c r="AV84" s="819">
        <v>332.35</v>
      </c>
      <c r="AW84" s="819">
        <v>0</v>
      </c>
      <c r="AX84" s="820">
        <v>73</v>
      </c>
      <c r="AY84" s="820">
        <v>360</v>
      </c>
      <c r="AZ84" s="819">
        <v>250448.44</v>
      </c>
      <c r="BA84" s="819">
        <v>70400</v>
      </c>
      <c r="BB84" s="821">
        <v>80</v>
      </c>
      <c r="BC84" s="821">
        <v>38.444090909090903</v>
      </c>
      <c r="BD84" s="821">
        <v>10.1</v>
      </c>
      <c r="BE84" s="821"/>
      <c r="BF84" s="817" t="s">
        <v>815</v>
      </c>
      <c r="BG84" s="814"/>
      <c r="BH84" s="817" t="s">
        <v>540</v>
      </c>
      <c r="BI84" s="817" t="s">
        <v>883</v>
      </c>
      <c r="BJ84" s="817"/>
      <c r="BK84" s="817" t="s">
        <v>828</v>
      </c>
      <c r="BL84" s="815" t="s">
        <v>2</v>
      </c>
      <c r="BM84" s="821">
        <v>277694.84419520001</v>
      </c>
      <c r="BN84" s="815" t="s">
        <v>740</v>
      </c>
      <c r="BO84" s="821"/>
      <c r="BP84" s="822">
        <v>36802</v>
      </c>
      <c r="BQ84" s="822">
        <v>47756</v>
      </c>
      <c r="BR84" s="821">
        <v>0</v>
      </c>
      <c r="BS84" s="821">
        <v>65</v>
      </c>
      <c r="BT84" s="821">
        <v>28.22</v>
      </c>
    </row>
    <row r="85" spans="1:72" s="802" customFormat="1" ht="18.2" customHeight="1" x14ac:dyDescent="0.15">
      <c r="A85" s="805">
        <v>83</v>
      </c>
      <c r="B85" s="806" t="s">
        <v>413</v>
      </c>
      <c r="C85" s="806" t="s">
        <v>25</v>
      </c>
      <c r="D85" s="807">
        <v>45505</v>
      </c>
      <c r="E85" s="808" t="s">
        <v>897</v>
      </c>
      <c r="F85" s="809">
        <v>2</v>
      </c>
      <c r="G85" s="809">
        <v>2</v>
      </c>
      <c r="H85" s="810">
        <v>43825.67</v>
      </c>
      <c r="I85" s="810">
        <v>515.13</v>
      </c>
      <c r="J85" s="810">
        <v>0</v>
      </c>
      <c r="K85" s="810">
        <v>44340.800000000003</v>
      </c>
      <c r="L85" s="810">
        <v>420.17</v>
      </c>
      <c r="M85" s="810">
        <v>0</v>
      </c>
      <c r="N85" s="810">
        <v>0</v>
      </c>
      <c r="O85" s="810">
        <v>345.82</v>
      </c>
      <c r="P85" s="810">
        <v>0</v>
      </c>
      <c r="Q85" s="810">
        <v>0</v>
      </c>
      <c r="R85" s="810">
        <v>0</v>
      </c>
      <c r="S85" s="810">
        <v>43994.97</v>
      </c>
      <c r="T85" s="810">
        <v>379.2</v>
      </c>
      <c r="U85" s="810">
        <v>372.49</v>
      </c>
      <c r="V85" s="810">
        <v>0</v>
      </c>
      <c r="W85" s="810">
        <v>379.19</v>
      </c>
      <c r="X85" s="810">
        <v>0</v>
      </c>
      <c r="Y85" s="810">
        <v>0</v>
      </c>
      <c r="Z85" s="810">
        <v>0</v>
      </c>
      <c r="AA85" s="810">
        <v>372.49</v>
      </c>
      <c r="AB85" s="810">
        <v>0</v>
      </c>
      <c r="AC85" s="810">
        <v>0</v>
      </c>
      <c r="AD85" s="810">
        <v>0</v>
      </c>
      <c r="AE85" s="810">
        <v>0</v>
      </c>
      <c r="AF85" s="810">
        <v>0</v>
      </c>
      <c r="AG85" s="810">
        <v>0</v>
      </c>
      <c r="AH85" s="810">
        <v>0</v>
      </c>
      <c r="AI85" s="810">
        <v>0</v>
      </c>
      <c r="AJ85" s="810">
        <v>65</v>
      </c>
      <c r="AK85" s="810">
        <v>0</v>
      </c>
      <c r="AL85" s="810">
        <v>0</v>
      </c>
      <c r="AM85" s="810">
        <v>28.16</v>
      </c>
      <c r="AN85" s="810">
        <v>0</v>
      </c>
      <c r="AO85" s="810">
        <v>101.22</v>
      </c>
      <c r="AP85" s="810">
        <v>84.06</v>
      </c>
      <c r="AQ85" s="810">
        <v>0</v>
      </c>
      <c r="AR85" s="810">
        <v>0</v>
      </c>
      <c r="AS85" s="810">
        <v>3.158782</v>
      </c>
      <c r="AT85" s="810">
        <v>0</v>
      </c>
      <c r="AU85" s="810">
        <f t="shared" si="1"/>
        <v>1000.2912180000001</v>
      </c>
      <c r="AV85" s="810">
        <v>592.64</v>
      </c>
      <c r="AW85" s="810">
        <v>372.49</v>
      </c>
      <c r="AX85" s="811">
        <v>74</v>
      </c>
      <c r="AY85" s="811">
        <v>360</v>
      </c>
      <c r="AZ85" s="810">
        <v>298098.78999999998</v>
      </c>
      <c r="BA85" s="810">
        <v>88825</v>
      </c>
      <c r="BB85" s="812">
        <v>85</v>
      </c>
      <c r="BC85" s="812">
        <v>42.100449760765599</v>
      </c>
      <c r="BD85" s="812">
        <v>10.199999999999999</v>
      </c>
      <c r="BE85" s="812"/>
      <c r="BF85" s="808" t="s">
        <v>815</v>
      </c>
      <c r="BG85" s="805"/>
      <c r="BH85" s="808" t="s">
        <v>823</v>
      </c>
      <c r="BI85" s="808" t="s">
        <v>873</v>
      </c>
      <c r="BJ85" s="808"/>
      <c r="BK85" s="808" t="s">
        <v>828</v>
      </c>
      <c r="BL85" s="806" t="s">
        <v>2</v>
      </c>
      <c r="BM85" s="812">
        <v>361125.84802968003</v>
      </c>
      <c r="BN85" s="806" t="s">
        <v>740</v>
      </c>
      <c r="BO85" s="812"/>
      <c r="BP85" s="813">
        <v>36812</v>
      </c>
      <c r="BQ85" s="813">
        <v>47756</v>
      </c>
      <c r="BR85" s="812">
        <v>278.44</v>
      </c>
      <c r="BS85" s="812">
        <v>65</v>
      </c>
      <c r="BT85" s="812">
        <v>28.16</v>
      </c>
    </row>
    <row r="86" spans="1:72" s="802" customFormat="1" ht="18.2" customHeight="1" x14ac:dyDescent="0.15">
      <c r="A86" s="814">
        <v>84</v>
      </c>
      <c r="B86" s="815" t="s">
        <v>413</v>
      </c>
      <c r="C86" s="815" t="s">
        <v>25</v>
      </c>
      <c r="D86" s="816">
        <v>45505</v>
      </c>
      <c r="E86" s="817" t="s">
        <v>898</v>
      </c>
      <c r="F86" s="818">
        <v>0</v>
      </c>
      <c r="G86" s="818">
        <v>1</v>
      </c>
      <c r="H86" s="819">
        <v>34325.67</v>
      </c>
      <c r="I86" s="819">
        <v>450.44</v>
      </c>
      <c r="J86" s="819">
        <v>0</v>
      </c>
      <c r="K86" s="819">
        <v>34776.11</v>
      </c>
      <c r="L86" s="819">
        <v>454.27</v>
      </c>
      <c r="M86" s="819">
        <v>0</v>
      </c>
      <c r="N86" s="819">
        <v>0</v>
      </c>
      <c r="O86" s="819">
        <v>450.44</v>
      </c>
      <c r="P86" s="819">
        <v>454.27</v>
      </c>
      <c r="Q86" s="819">
        <v>0</v>
      </c>
      <c r="R86" s="819">
        <v>0</v>
      </c>
      <c r="S86" s="819">
        <v>33871.4</v>
      </c>
      <c r="T86" s="819">
        <v>295.60000000000002</v>
      </c>
      <c r="U86" s="819">
        <v>291.77</v>
      </c>
      <c r="V86" s="819">
        <v>0</v>
      </c>
      <c r="W86" s="819">
        <v>295.60000000000002</v>
      </c>
      <c r="X86" s="819">
        <v>291.77</v>
      </c>
      <c r="Y86" s="819">
        <v>0</v>
      </c>
      <c r="Z86" s="819">
        <v>0</v>
      </c>
      <c r="AA86" s="819">
        <v>0</v>
      </c>
      <c r="AB86" s="819">
        <v>65</v>
      </c>
      <c r="AC86" s="819">
        <v>0</v>
      </c>
      <c r="AD86" s="819">
        <v>0</v>
      </c>
      <c r="AE86" s="819">
        <v>0</v>
      </c>
      <c r="AF86" s="819">
        <v>0</v>
      </c>
      <c r="AG86" s="819">
        <v>0</v>
      </c>
      <c r="AH86" s="819">
        <v>96.09</v>
      </c>
      <c r="AI86" s="819">
        <v>43.79</v>
      </c>
      <c r="AJ86" s="819">
        <v>65</v>
      </c>
      <c r="AK86" s="819">
        <v>0</v>
      </c>
      <c r="AL86" s="819">
        <v>0</v>
      </c>
      <c r="AM86" s="819">
        <v>0</v>
      </c>
      <c r="AN86" s="819">
        <v>0</v>
      </c>
      <c r="AO86" s="819">
        <v>96.09</v>
      </c>
      <c r="AP86" s="819">
        <v>132.80000000000001</v>
      </c>
      <c r="AQ86" s="819">
        <v>52.076999999999998</v>
      </c>
      <c r="AR86" s="819">
        <v>0</v>
      </c>
      <c r="AS86" s="819">
        <v>0</v>
      </c>
      <c r="AT86" s="819">
        <v>0</v>
      </c>
      <c r="AU86" s="819">
        <f t="shared" si="1"/>
        <v>2042.9270000000001</v>
      </c>
      <c r="AV86" s="819">
        <v>0</v>
      </c>
      <c r="AW86" s="819">
        <v>0</v>
      </c>
      <c r="AX86" s="820">
        <v>74</v>
      </c>
      <c r="AY86" s="820">
        <v>360</v>
      </c>
      <c r="AZ86" s="819">
        <v>315000</v>
      </c>
      <c r="BA86" s="819">
        <v>83600</v>
      </c>
      <c r="BB86" s="821">
        <v>75.75</v>
      </c>
      <c r="BC86" s="821">
        <v>30.690891746411499</v>
      </c>
      <c r="BD86" s="821">
        <v>10.199999999999999</v>
      </c>
      <c r="BE86" s="821"/>
      <c r="BF86" s="817" t="s">
        <v>815</v>
      </c>
      <c r="BG86" s="814"/>
      <c r="BH86" s="817" t="s">
        <v>823</v>
      </c>
      <c r="BI86" s="817" t="s">
        <v>873</v>
      </c>
      <c r="BJ86" s="817"/>
      <c r="BK86" s="817" t="s">
        <v>309</v>
      </c>
      <c r="BL86" s="815" t="s">
        <v>2</v>
      </c>
      <c r="BM86" s="821">
        <v>278028.1029616</v>
      </c>
      <c r="BN86" s="815" t="s">
        <v>740</v>
      </c>
      <c r="BO86" s="821"/>
      <c r="BP86" s="822">
        <v>36819</v>
      </c>
      <c r="BQ86" s="822">
        <v>47756</v>
      </c>
      <c r="BR86" s="821">
        <v>0</v>
      </c>
      <c r="BS86" s="821">
        <v>65</v>
      </c>
      <c r="BT86" s="821">
        <v>0</v>
      </c>
    </row>
    <row r="87" spans="1:72" s="802" customFormat="1" ht="18.2" customHeight="1" x14ac:dyDescent="0.15">
      <c r="A87" s="805">
        <v>85</v>
      </c>
      <c r="B87" s="806" t="s">
        <v>413</v>
      </c>
      <c r="C87" s="806" t="s">
        <v>25</v>
      </c>
      <c r="D87" s="807">
        <v>45505</v>
      </c>
      <c r="E87" s="808" t="s">
        <v>899</v>
      </c>
      <c r="F87" s="809">
        <v>0</v>
      </c>
      <c r="G87" s="809">
        <v>0</v>
      </c>
      <c r="H87" s="810">
        <v>38514.01</v>
      </c>
      <c r="I87" s="810">
        <v>0</v>
      </c>
      <c r="J87" s="810">
        <v>0</v>
      </c>
      <c r="K87" s="810">
        <v>38514.01</v>
      </c>
      <c r="L87" s="810">
        <v>373.85</v>
      </c>
      <c r="M87" s="810">
        <v>0</v>
      </c>
      <c r="N87" s="810">
        <v>0</v>
      </c>
      <c r="O87" s="810">
        <v>0</v>
      </c>
      <c r="P87" s="810">
        <v>373.85</v>
      </c>
      <c r="Q87" s="810">
        <v>0</v>
      </c>
      <c r="R87" s="810">
        <v>0</v>
      </c>
      <c r="S87" s="810">
        <v>38483.949999999997</v>
      </c>
      <c r="T87" s="810">
        <v>0</v>
      </c>
      <c r="U87" s="810">
        <v>327.05</v>
      </c>
      <c r="V87" s="810">
        <v>0</v>
      </c>
      <c r="W87" s="810">
        <v>0</v>
      </c>
      <c r="X87" s="810">
        <v>327.05</v>
      </c>
      <c r="Y87" s="810">
        <v>0</v>
      </c>
      <c r="Z87" s="810">
        <v>0</v>
      </c>
      <c r="AA87" s="810">
        <v>0</v>
      </c>
      <c r="AB87" s="810">
        <v>65</v>
      </c>
      <c r="AC87" s="810">
        <v>0</v>
      </c>
      <c r="AD87" s="810">
        <v>0</v>
      </c>
      <c r="AE87" s="810">
        <v>0</v>
      </c>
      <c r="AF87" s="810">
        <v>0</v>
      </c>
      <c r="AG87" s="810">
        <v>0</v>
      </c>
      <c r="AH87" s="810">
        <v>90.3</v>
      </c>
      <c r="AI87" s="810">
        <v>76.87</v>
      </c>
      <c r="AJ87" s="810">
        <v>0</v>
      </c>
      <c r="AK87" s="810">
        <v>0</v>
      </c>
      <c r="AL87" s="810">
        <v>0</v>
      </c>
      <c r="AM87" s="810">
        <v>0</v>
      </c>
      <c r="AN87" s="810">
        <v>0</v>
      </c>
      <c r="AO87" s="810">
        <v>0</v>
      </c>
      <c r="AP87" s="810">
        <v>0</v>
      </c>
      <c r="AQ87" s="810">
        <v>0</v>
      </c>
      <c r="AR87" s="810">
        <v>0</v>
      </c>
      <c r="AS87" s="810">
        <v>8.8933999999999999E-2</v>
      </c>
      <c r="AT87" s="810">
        <v>0</v>
      </c>
      <c r="AU87" s="810">
        <f t="shared" si="1"/>
        <v>932.98106600000006</v>
      </c>
      <c r="AV87" s="810">
        <v>0</v>
      </c>
      <c r="AW87" s="810">
        <v>0</v>
      </c>
      <c r="AX87" s="811">
        <v>73</v>
      </c>
      <c r="AY87" s="811">
        <v>360</v>
      </c>
      <c r="AZ87" s="810">
        <v>251221.52</v>
      </c>
      <c r="BA87" s="810">
        <v>79200</v>
      </c>
      <c r="BB87" s="812">
        <v>90</v>
      </c>
      <c r="BC87" s="812">
        <v>43.731761363636402</v>
      </c>
      <c r="BD87" s="812">
        <v>10.1</v>
      </c>
      <c r="BE87" s="812"/>
      <c r="BF87" s="808" t="s">
        <v>815</v>
      </c>
      <c r="BG87" s="805"/>
      <c r="BH87" s="808" t="s">
        <v>540</v>
      </c>
      <c r="BI87" s="808" t="s">
        <v>818</v>
      </c>
      <c r="BJ87" s="808"/>
      <c r="BK87" s="808" t="s">
        <v>309</v>
      </c>
      <c r="BL87" s="806" t="s">
        <v>2</v>
      </c>
      <c r="BM87" s="812">
        <v>315889.50007880002</v>
      </c>
      <c r="BN87" s="806" t="s">
        <v>740</v>
      </c>
      <c r="BO87" s="812"/>
      <c r="BP87" s="813">
        <v>36822</v>
      </c>
      <c r="BQ87" s="813">
        <v>47756</v>
      </c>
      <c r="BR87" s="812">
        <v>0</v>
      </c>
      <c r="BS87" s="812">
        <v>65</v>
      </c>
      <c r="BT87" s="812">
        <v>0</v>
      </c>
    </row>
    <row r="88" spans="1:72" s="802" customFormat="1" ht="18.2" customHeight="1" x14ac:dyDescent="0.15">
      <c r="A88" s="814">
        <v>86</v>
      </c>
      <c r="B88" s="815" t="s">
        <v>413</v>
      </c>
      <c r="C88" s="815" t="s">
        <v>25</v>
      </c>
      <c r="D88" s="816">
        <v>45505</v>
      </c>
      <c r="E88" s="817" t="s">
        <v>575</v>
      </c>
      <c r="F88" s="818">
        <v>173</v>
      </c>
      <c r="G88" s="818">
        <v>172</v>
      </c>
      <c r="H88" s="819">
        <v>38860.589999999997</v>
      </c>
      <c r="I88" s="819">
        <v>33904.720000000001</v>
      </c>
      <c r="J88" s="819">
        <v>0</v>
      </c>
      <c r="K88" s="819">
        <v>72765.31</v>
      </c>
      <c r="L88" s="819">
        <v>373.85</v>
      </c>
      <c r="M88" s="819">
        <v>0</v>
      </c>
      <c r="N88" s="819">
        <v>0</v>
      </c>
      <c r="O88" s="819">
        <v>0</v>
      </c>
      <c r="P88" s="819">
        <v>0</v>
      </c>
      <c r="Q88" s="819">
        <v>0</v>
      </c>
      <c r="R88" s="819">
        <v>0</v>
      </c>
      <c r="S88" s="819">
        <v>72765.31</v>
      </c>
      <c r="T88" s="819">
        <v>86645.66</v>
      </c>
      <c r="U88" s="819">
        <v>327.05</v>
      </c>
      <c r="V88" s="819">
        <v>0</v>
      </c>
      <c r="W88" s="819">
        <v>0</v>
      </c>
      <c r="X88" s="819">
        <v>0</v>
      </c>
      <c r="Y88" s="819">
        <v>0</v>
      </c>
      <c r="Z88" s="819">
        <v>0</v>
      </c>
      <c r="AA88" s="819">
        <v>86972.71</v>
      </c>
      <c r="AB88" s="819">
        <v>0</v>
      </c>
      <c r="AC88" s="819">
        <v>0</v>
      </c>
      <c r="AD88" s="819">
        <v>0</v>
      </c>
      <c r="AE88" s="819">
        <v>0</v>
      </c>
      <c r="AF88" s="819">
        <v>0</v>
      </c>
      <c r="AG88" s="819">
        <v>0</v>
      </c>
      <c r="AH88" s="819">
        <v>0</v>
      </c>
      <c r="AI88" s="819">
        <v>0</v>
      </c>
      <c r="AJ88" s="819">
        <v>0</v>
      </c>
      <c r="AK88" s="819">
        <v>0</v>
      </c>
      <c r="AL88" s="819">
        <v>0</v>
      </c>
      <c r="AM88" s="819">
        <v>0</v>
      </c>
      <c r="AN88" s="819">
        <v>0</v>
      </c>
      <c r="AO88" s="819">
        <v>0</v>
      </c>
      <c r="AP88" s="819">
        <v>0</v>
      </c>
      <c r="AQ88" s="819">
        <v>0</v>
      </c>
      <c r="AR88" s="819">
        <v>0</v>
      </c>
      <c r="AS88" s="819">
        <v>0</v>
      </c>
      <c r="AT88" s="819">
        <v>0</v>
      </c>
      <c r="AU88" s="819">
        <f t="shared" si="1"/>
        <v>0</v>
      </c>
      <c r="AV88" s="819">
        <v>34278.57</v>
      </c>
      <c r="AW88" s="819">
        <v>86972.71</v>
      </c>
      <c r="AX88" s="820">
        <v>73</v>
      </c>
      <c r="AY88" s="820">
        <v>360</v>
      </c>
      <c r="AZ88" s="819">
        <v>251221.52</v>
      </c>
      <c r="BA88" s="819">
        <v>79200</v>
      </c>
      <c r="BB88" s="821">
        <v>90</v>
      </c>
      <c r="BC88" s="821">
        <v>82.687852272727298</v>
      </c>
      <c r="BD88" s="821">
        <v>10.1</v>
      </c>
      <c r="BE88" s="821"/>
      <c r="BF88" s="817" t="s">
        <v>815</v>
      </c>
      <c r="BG88" s="814"/>
      <c r="BH88" s="817" t="s">
        <v>540</v>
      </c>
      <c r="BI88" s="817" t="s">
        <v>818</v>
      </c>
      <c r="BJ88" s="817"/>
      <c r="BK88" s="817" t="s">
        <v>338</v>
      </c>
      <c r="BL88" s="815" t="s">
        <v>2</v>
      </c>
      <c r="BM88" s="821">
        <v>597282.69574663998</v>
      </c>
      <c r="BN88" s="815" t="s">
        <v>740</v>
      </c>
      <c r="BO88" s="821"/>
      <c r="BP88" s="822">
        <v>36822</v>
      </c>
      <c r="BQ88" s="822">
        <v>47756</v>
      </c>
      <c r="BR88" s="821">
        <v>46886.39</v>
      </c>
      <c r="BS88" s="821">
        <v>65</v>
      </c>
      <c r="BT88" s="821">
        <v>28.13</v>
      </c>
    </row>
    <row r="89" spans="1:72" s="802" customFormat="1" ht="18.2" customHeight="1" x14ac:dyDescent="0.15">
      <c r="A89" s="805">
        <v>87</v>
      </c>
      <c r="B89" s="806" t="s">
        <v>413</v>
      </c>
      <c r="C89" s="806" t="s">
        <v>25</v>
      </c>
      <c r="D89" s="807">
        <v>45505</v>
      </c>
      <c r="E89" s="808" t="s">
        <v>900</v>
      </c>
      <c r="F89" s="809">
        <v>0</v>
      </c>
      <c r="G89" s="809">
        <v>0</v>
      </c>
      <c r="H89" s="810">
        <v>38457.019999999997</v>
      </c>
      <c r="I89" s="810">
        <v>0</v>
      </c>
      <c r="J89" s="810">
        <v>0</v>
      </c>
      <c r="K89" s="810">
        <v>38457.019999999997</v>
      </c>
      <c r="L89" s="810">
        <v>377.24</v>
      </c>
      <c r="M89" s="810">
        <v>0</v>
      </c>
      <c r="N89" s="810">
        <v>0</v>
      </c>
      <c r="O89" s="810">
        <v>0</v>
      </c>
      <c r="P89" s="810">
        <v>377.24</v>
      </c>
      <c r="Q89" s="810">
        <v>2.62</v>
      </c>
      <c r="R89" s="810">
        <v>0</v>
      </c>
      <c r="S89" s="810">
        <v>38077.160000000003</v>
      </c>
      <c r="T89" s="810">
        <v>0</v>
      </c>
      <c r="U89" s="810">
        <v>323.66000000000003</v>
      </c>
      <c r="V89" s="810">
        <v>0</v>
      </c>
      <c r="W89" s="810">
        <v>0</v>
      </c>
      <c r="X89" s="810">
        <v>323.66000000000003</v>
      </c>
      <c r="Y89" s="810">
        <v>0</v>
      </c>
      <c r="Z89" s="810">
        <v>0</v>
      </c>
      <c r="AA89" s="810">
        <v>0</v>
      </c>
      <c r="AB89" s="810">
        <v>65</v>
      </c>
      <c r="AC89" s="810">
        <v>0</v>
      </c>
      <c r="AD89" s="810">
        <v>0</v>
      </c>
      <c r="AE89" s="810">
        <v>0</v>
      </c>
      <c r="AF89" s="810">
        <v>0</v>
      </c>
      <c r="AG89" s="810">
        <v>0</v>
      </c>
      <c r="AH89" s="810">
        <v>90.3</v>
      </c>
      <c r="AI89" s="810">
        <v>76.87</v>
      </c>
      <c r="AJ89" s="810">
        <v>0</v>
      </c>
      <c r="AK89" s="810">
        <v>0</v>
      </c>
      <c r="AL89" s="810">
        <v>0</v>
      </c>
      <c r="AM89" s="810">
        <v>0</v>
      </c>
      <c r="AN89" s="810">
        <v>0</v>
      </c>
      <c r="AO89" s="810">
        <v>0</v>
      </c>
      <c r="AP89" s="810">
        <v>0</v>
      </c>
      <c r="AQ89" s="810">
        <v>6.0880000000000001</v>
      </c>
      <c r="AR89" s="810">
        <v>0</v>
      </c>
      <c r="AS89" s="810">
        <v>0</v>
      </c>
      <c r="AT89" s="810">
        <v>0</v>
      </c>
      <c r="AU89" s="810">
        <f t="shared" si="1"/>
        <v>941.77800000000002</v>
      </c>
      <c r="AV89" s="810">
        <v>0</v>
      </c>
      <c r="AW89" s="810">
        <v>0</v>
      </c>
      <c r="AX89" s="811">
        <v>73</v>
      </c>
      <c r="AY89" s="811">
        <v>360</v>
      </c>
      <c r="AZ89" s="810">
        <v>251221.52</v>
      </c>
      <c r="BA89" s="810">
        <v>79200</v>
      </c>
      <c r="BB89" s="812">
        <v>90</v>
      </c>
      <c r="BC89" s="812">
        <v>43.269500000000001</v>
      </c>
      <c r="BD89" s="812">
        <v>10.1</v>
      </c>
      <c r="BE89" s="812"/>
      <c r="BF89" s="808" t="s">
        <v>815</v>
      </c>
      <c r="BG89" s="805"/>
      <c r="BH89" s="808" t="s">
        <v>540</v>
      </c>
      <c r="BI89" s="808" t="s">
        <v>818</v>
      </c>
      <c r="BJ89" s="808"/>
      <c r="BK89" s="808" t="s">
        <v>309</v>
      </c>
      <c r="BL89" s="806" t="s">
        <v>2</v>
      </c>
      <c r="BM89" s="812">
        <v>312550.42782303999</v>
      </c>
      <c r="BN89" s="806" t="s">
        <v>740</v>
      </c>
      <c r="BO89" s="812"/>
      <c r="BP89" s="813">
        <v>36822</v>
      </c>
      <c r="BQ89" s="813">
        <v>47756</v>
      </c>
      <c r="BR89" s="812">
        <v>0</v>
      </c>
      <c r="BS89" s="812">
        <v>65</v>
      </c>
      <c r="BT89" s="812">
        <v>0</v>
      </c>
    </row>
    <row r="90" spans="1:72" s="802" customFormat="1" ht="18.2" customHeight="1" x14ac:dyDescent="0.15">
      <c r="A90" s="814">
        <v>88</v>
      </c>
      <c r="B90" s="815" t="s">
        <v>413</v>
      </c>
      <c r="C90" s="815" t="s">
        <v>25</v>
      </c>
      <c r="D90" s="816">
        <v>45505</v>
      </c>
      <c r="E90" s="817" t="s">
        <v>901</v>
      </c>
      <c r="F90" s="818">
        <v>0</v>
      </c>
      <c r="G90" s="818">
        <v>0</v>
      </c>
      <c r="H90" s="819">
        <v>43842.66</v>
      </c>
      <c r="I90" s="819">
        <v>0</v>
      </c>
      <c r="J90" s="819">
        <v>0</v>
      </c>
      <c r="K90" s="819">
        <v>43842.66</v>
      </c>
      <c r="L90" s="819">
        <v>420</v>
      </c>
      <c r="M90" s="819">
        <v>0</v>
      </c>
      <c r="N90" s="819">
        <v>0</v>
      </c>
      <c r="O90" s="819">
        <v>0</v>
      </c>
      <c r="P90" s="819">
        <v>420</v>
      </c>
      <c r="Q90" s="819">
        <v>0</v>
      </c>
      <c r="R90" s="819">
        <v>0</v>
      </c>
      <c r="S90" s="819">
        <v>43422.66</v>
      </c>
      <c r="T90" s="819">
        <v>0</v>
      </c>
      <c r="U90" s="819">
        <v>372.66</v>
      </c>
      <c r="V90" s="819">
        <v>0</v>
      </c>
      <c r="W90" s="819">
        <v>0</v>
      </c>
      <c r="X90" s="819">
        <v>372.66</v>
      </c>
      <c r="Y90" s="819">
        <v>0</v>
      </c>
      <c r="Z90" s="819">
        <v>0</v>
      </c>
      <c r="AA90" s="819">
        <v>0</v>
      </c>
      <c r="AB90" s="819">
        <v>65</v>
      </c>
      <c r="AC90" s="819">
        <v>0</v>
      </c>
      <c r="AD90" s="819">
        <v>0</v>
      </c>
      <c r="AE90" s="819">
        <v>0</v>
      </c>
      <c r="AF90" s="819">
        <v>0</v>
      </c>
      <c r="AG90" s="819">
        <v>0</v>
      </c>
      <c r="AH90" s="819">
        <v>101.22</v>
      </c>
      <c r="AI90" s="819">
        <v>88.5</v>
      </c>
      <c r="AJ90" s="819">
        <v>0</v>
      </c>
      <c r="AK90" s="819">
        <v>0</v>
      </c>
      <c r="AL90" s="819">
        <v>0</v>
      </c>
      <c r="AM90" s="819">
        <v>0</v>
      </c>
      <c r="AN90" s="819">
        <v>0</v>
      </c>
      <c r="AO90" s="819">
        <v>0</v>
      </c>
      <c r="AP90" s="819">
        <v>0</v>
      </c>
      <c r="AQ90" s="819">
        <v>3.6999999999999998E-2</v>
      </c>
      <c r="AR90" s="819">
        <v>0</v>
      </c>
      <c r="AS90" s="819">
        <v>0</v>
      </c>
      <c r="AT90" s="819">
        <v>0</v>
      </c>
      <c r="AU90" s="819">
        <f t="shared" si="1"/>
        <v>1047.4169999999999</v>
      </c>
      <c r="AV90" s="819">
        <v>0</v>
      </c>
      <c r="AW90" s="819">
        <v>0</v>
      </c>
      <c r="AX90" s="820">
        <v>75</v>
      </c>
      <c r="AY90" s="820">
        <v>360</v>
      </c>
      <c r="AZ90" s="819">
        <v>301366.40000000002</v>
      </c>
      <c r="BA90" s="819">
        <v>88825</v>
      </c>
      <c r="BB90" s="821">
        <v>85</v>
      </c>
      <c r="BC90" s="821">
        <v>41.552784688995203</v>
      </c>
      <c r="BD90" s="821">
        <v>10.199999999999999</v>
      </c>
      <c r="BE90" s="821"/>
      <c r="BF90" s="817" t="s">
        <v>815</v>
      </c>
      <c r="BG90" s="814"/>
      <c r="BH90" s="817" t="s">
        <v>823</v>
      </c>
      <c r="BI90" s="817" t="s">
        <v>873</v>
      </c>
      <c r="BJ90" s="817"/>
      <c r="BK90" s="817" t="s">
        <v>309</v>
      </c>
      <c r="BL90" s="815" t="s">
        <v>2</v>
      </c>
      <c r="BM90" s="821">
        <v>356428.13067504001</v>
      </c>
      <c r="BN90" s="815" t="s">
        <v>740</v>
      </c>
      <c r="BO90" s="821"/>
      <c r="BP90" s="822">
        <v>36860</v>
      </c>
      <c r="BQ90" s="822">
        <v>47788</v>
      </c>
      <c r="BR90" s="821">
        <v>0</v>
      </c>
      <c r="BS90" s="821">
        <v>65</v>
      </c>
      <c r="BT90" s="821">
        <v>0</v>
      </c>
    </row>
    <row r="91" spans="1:72" s="802" customFormat="1" ht="18.2" customHeight="1" x14ac:dyDescent="0.15">
      <c r="A91" s="805">
        <v>89</v>
      </c>
      <c r="B91" s="806" t="s">
        <v>413</v>
      </c>
      <c r="C91" s="806" t="s">
        <v>25</v>
      </c>
      <c r="D91" s="807">
        <v>45505</v>
      </c>
      <c r="E91" s="808" t="s">
        <v>576</v>
      </c>
      <c r="F91" s="809">
        <v>1</v>
      </c>
      <c r="G91" s="809">
        <v>1</v>
      </c>
      <c r="H91" s="810">
        <v>43848.49</v>
      </c>
      <c r="I91" s="810">
        <v>416.41</v>
      </c>
      <c r="J91" s="810">
        <v>0</v>
      </c>
      <c r="K91" s="810">
        <v>44264.9</v>
      </c>
      <c r="L91" s="810">
        <v>419.95</v>
      </c>
      <c r="M91" s="810">
        <v>0</v>
      </c>
      <c r="N91" s="810">
        <v>0</v>
      </c>
      <c r="O91" s="810">
        <v>416.41</v>
      </c>
      <c r="P91" s="810">
        <v>0</v>
      </c>
      <c r="Q91" s="810">
        <v>0</v>
      </c>
      <c r="R91" s="810">
        <v>0</v>
      </c>
      <c r="S91" s="810">
        <v>43848.49</v>
      </c>
      <c r="T91" s="810">
        <v>363.87</v>
      </c>
      <c r="U91" s="810">
        <v>372.71</v>
      </c>
      <c r="V91" s="810">
        <v>0</v>
      </c>
      <c r="W91" s="810">
        <v>0</v>
      </c>
      <c r="X91" s="810">
        <v>446.59</v>
      </c>
      <c r="Y91" s="810">
        <v>0</v>
      </c>
      <c r="Z91" s="810">
        <v>0</v>
      </c>
      <c r="AA91" s="810">
        <v>289.99</v>
      </c>
      <c r="AB91" s="810">
        <v>65</v>
      </c>
      <c r="AC91" s="810">
        <v>0</v>
      </c>
      <c r="AD91" s="810">
        <v>0</v>
      </c>
      <c r="AE91" s="810">
        <v>0</v>
      </c>
      <c r="AF91" s="810">
        <v>27.71</v>
      </c>
      <c r="AG91" s="810">
        <v>0</v>
      </c>
      <c r="AH91" s="810">
        <v>101.22</v>
      </c>
      <c r="AI91" s="810">
        <v>81.99</v>
      </c>
      <c r="AJ91" s="810">
        <v>0</v>
      </c>
      <c r="AK91" s="810">
        <v>0</v>
      </c>
      <c r="AL91" s="810">
        <v>0</v>
      </c>
      <c r="AM91" s="810">
        <v>0</v>
      </c>
      <c r="AN91" s="810">
        <v>0</v>
      </c>
      <c r="AO91" s="810">
        <v>0</v>
      </c>
      <c r="AP91" s="810">
        <v>5.64</v>
      </c>
      <c r="AQ91" s="810">
        <v>0</v>
      </c>
      <c r="AR91" s="810">
        <v>0</v>
      </c>
      <c r="AS91" s="810">
        <v>3.6549999999999998E-3</v>
      </c>
      <c r="AT91" s="810">
        <v>0</v>
      </c>
      <c r="AU91" s="810">
        <f t="shared" si="1"/>
        <v>1144.556345</v>
      </c>
      <c r="AV91" s="810">
        <v>419.95</v>
      </c>
      <c r="AW91" s="810">
        <v>289.99</v>
      </c>
      <c r="AX91" s="811">
        <v>76</v>
      </c>
      <c r="AY91" s="811">
        <v>360</v>
      </c>
      <c r="AZ91" s="810">
        <v>407403</v>
      </c>
      <c r="BA91" s="810">
        <v>88825</v>
      </c>
      <c r="BB91" s="812">
        <v>63.21</v>
      </c>
      <c r="BC91" s="812">
        <v>31.203636959189399</v>
      </c>
      <c r="BD91" s="812">
        <v>10.199999999999999</v>
      </c>
      <c r="BE91" s="812"/>
      <c r="BF91" s="808" t="s">
        <v>815</v>
      </c>
      <c r="BG91" s="805"/>
      <c r="BH91" s="808" t="s">
        <v>823</v>
      </c>
      <c r="BI91" s="808" t="s">
        <v>873</v>
      </c>
      <c r="BJ91" s="808"/>
      <c r="BK91" s="808" t="s">
        <v>828</v>
      </c>
      <c r="BL91" s="806" t="s">
        <v>2</v>
      </c>
      <c r="BM91" s="812">
        <v>359923.48980056</v>
      </c>
      <c r="BN91" s="806" t="s">
        <v>740</v>
      </c>
      <c r="BO91" s="812"/>
      <c r="BP91" s="813">
        <v>36880</v>
      </c>
      <c r="BQ91" s="813">
        <v>47817</v>
      </c>
      <c r="BR91" s="812">
        <v>0</v>
      </c>
      <c r="BS91" s="812">
        <v>65</v>
      </c>
      <c r="BT91" s="812">
        <v>27.71</v>
      </c>
    </row>
    <row r="92" spans="1:72" s="802" customFormat="1" ht="18.2" customHeight="1" x14ac:dyDescent="0.15">
      <c r="A92" s="814">
        <v>90</v>
      </c>
      <c r="B92" s="815" t="s">
        <v>413</v>
      </c>
      <c r="C92" s="815" t="s">
        <v>25</v>
      </c>
      <c r="D92" s="816">
        <v>45505</v>
      </c>
      <c r="E92" s="817" t="s">
        <v>902</v>
      </c>
      <c r="F92" s="818">
        <v>3</v>
      </c>
      <c r="G92" s="818">
        <v>2</v>
      </c>
      <c r="H92" s="819">
        <v>53389.67</v>
      </c>
      <c r="I92" s="819">
        <v>753.5</v>
      </c>
      <c r="J92" s="819">
        <v>0</v>
      </c>
      <c r="K92" s="819">
        <v>54143.17</v>
      </c>
      <c r="L92" s="819">
        <v>385.5</v>
      </c>
      <c r="M92" s="819">
        <v>0</v>
      </c>
      <c r="N92" s="819">
        <v>0</v>
      </c>
      <c r="O92" s="819">
        <v>0</v>
      </c>
      <c r="P92" s="819">
        <v>0</v>
      </c>
      <c r="Q92" s="819">
        <v>0</v>
      </c>
      <c r="R92" s="819">
        <v>0</v>
      </c>
      <c r="S92" s="819">
        <v>54143.17</v>
      </c>
      <c r="T92" s="819">
        <v>459.95</v>
      </c>
      <c r="U92" s="819">
        <v>453.79</v>
      </c>
      <c r="V92" s="819">
        <v>0</v>
      </c>
      <c r="W92" s="819">
        <v>0</v>
      </c>
      <c r="X92" s="819">
        <v>0</v>
      </c>
      <c r="Y92" s="819">
        <v>0</v>
      </c>
      <c r="Z92" s="819">
        <v>0</v>
      </c>
      <c r="AA92" s="819">
        <v>913.74</v>
      </c>
      <c r="AB92" s="819">
        <v>0</v>
      </c>
      <c r="AC92" s="819">
        <v>0</v>
      </c>
      <c r="AD92" s="819">
        <v>0</v>
      </c>
      <c r="AE92" s="819">
        <v>0</v>
      </c>
      <c r="AF92" s="819">
        <v>0</v>
      </c>
      <c r="AG92" s="819">
        <v>0</v>
      </c>
      <c r="AH92" s="819">
        <v>0</v>
      </c>
      <c r="AI92" s="819">
        <v>0</v>
      </c>
      <c r="AJ92" s="819">
        <v>0</v>
      </c>
      <c r="AK92" s="819">
        <v>0</v>
      </c>
      <c r="AL92" s="819">
        <v>0</v>
      </c>
      <c r="AM92" s="819">
        <v>0</v>
      </c>
      <c r="AN92" s="819">
        <v>0</v>
      </c>
      <c r="AO92" s="819">
        <v>0</v>
      </c>
      <c r="AP92" s="819">
        <v>0</v>
      </c>
      <c r="AQ92" s="819">
        <v>0</v>
      </c>
      <c r="AR92" s="819">
        <v>0</v>
      </c>
      <c r="AS92" s="819">
        <v>0</v>
      </c>
      <c r="AT92" s="819">
        <v>0</v>
      </c>
      <c r="AU92" s="819">
        <f t="shared" si="1"/>
        <v>0</v>
      </c>
      <c r="AV92" s="819">
        <v>1139</v>
      </c>
      <c r="AW92" s="819">
        <v>913.74</v>
      </c>
      <c r="AX92" s="820">
        <v>90</v>
      </c>
      <c r="AY92" s="820">
        <v>360</v>
      </c>
      <c r="AZ92" s="819">
        <v>322446.77</v>
      </c>
      <c r="BA92" s="819">
        <v>94050</v>
      </c>
      <c r="BB92" s="821">
        <v>90</v>
      </c>
      <c r="BC92" s="821">
        <v>51.811645933014397</v>
      </c>
      <c r="BD92" s="821">
        <v>10.199999999999999</v>
      </c>
      <c r="BE92" s="821"/>
      <c r="BF92" s="817" t="s">
        <v>815</v>
      </c>
      <c r="BG92" s="814"/>
      <c r="BH92" s="817" t="s">
        <v>834</v>
      </c>
      <c r="BI92" s="817" t="s">
        <v>851</v>
      </c>
      <c r="BJ92" s="817"/>
      <c r="BK92" s="817" t="s">
        <v>828</v>
      </c>
      <c r="BL92" s="815" t="s">
        <v>2</v>
      </c>
      <c r="BM92" s="821">
        <v>444425.76461047999</v>
      </c>
      <c r="BN92" s="815" t="s">
        <v>740</v>
      </c>
      <c r="BO92" s="821"/>
      <c r="BP92" s="822">
        <v>37323</v>
      </c>
      <c r="BQ92" s="822">
        <v>48273</v>
      </c>
      <c r="BR92" s="821">
        <v>638.20000000000005</v>
      </c>
      <c r="BS92" s="821">
        <v>100</v>
      </c>
      <c r="BT92" s="821">
        <v>28.93</v>
      </c>
    </row>
    <row r="93" spans="1:72" s="802" customFormat="1" ht="18.2" customHeight="1" x14ac:dyDescent="0.15">
      <c r="A93" s="805">
        <v>91</v>
      </c>
      <c r="B93" s="806" t="s">
        <v>413</v>
      </c>
      <c r="C93" s="806" t="s">
        <v>25</v>
      </c>
      <c r="D93" s="807">
        <v>45505</v>
      </c>
      <c r="E93" s="808" t="s">
        <v>427</v>
      </c>
      <c r="F93" s="809">
        <v>96</v>
      </c>
      <c r="G93" s="809">
        <v>95</v>
      </c>
      <c r="H93" s="810">
        <v>35387.919999999998</v>
      </c>
      <c r="I93" s="810">
        <v>17657.02</v>
      </c>
      <c r="J93" s="810">
        <v>0</v>
      </c>
      <c r="K93" s="810">
        <v>53044.94</v>
      </c>
      <c r="L93" s="810">
        <v>269.83999999999997</v>
      </c>
      <c r="M93" s="810">
        <v>0</v>
      </c>
      <c r="N93" s="810">
        <v>0</v>
      </c>
      <c r="O93" s="810">
        <v>0</v>
      </c>
      <c r="P93" s="810">
        <v>0</v>
      </c>
      <c r="Q93" s="810">
        <v>0</v>
      </c>
      <c r="R93" s="810">
        <v>0</v>
      </c>
      <c r="S93" s="810">
        <v>53044.94</v>
      </c>
      <c r="T93" s="810">
        <v>35989.4</v>
      </c>
      <c r="U93" s="810">
        <v>294.88</v>
      </c>
      <c r="V93" s="810">
        <v>0</v>
      </c>
      <c r="W93" s="810">
        <v>0</v>
      </c>
      <c r="X93" s="810">
        <v>0</v>
      </c>
      <c r="Y93" s="810">
        <v>0</v>
      </c>
      <c r="Z93" s="810">
        <v>0</v>
      </c>
      <c r="AA93" s="810">
        <v>36284.28</v>
      </c>
      <c r="AB93" s="810">
        <v>0</v>
      </c>
      <c r="AC93" s="810">
        <v>0</v>
      </c>
      <c r="AD93" s="810">
        <v>0</v>
      </c>
      <c r="AE93" s="810">
        <v>0</v>
      </c>
      <c r="AF93" s="810">
        <v>0</v>
      </c>
      <c r="AG93" s="810">
        <v>0</v>
      </c>
      <c r="AH93" s="810">
        <v>0</v>
      </c>
      <c r="AI93" s="810">
        <v>0</v>
      </c>
      <c r="AJ93" s="810">
        <v>0</v>
      </c>
      <c r="AK93" s="810">
        <v>0</v>
      </c>
      <c r="AL93" s="810">
        <v>0</v>
      </c>
      <c r="AM93" s="810">
        <v>0</v>
      </c>
      <c r="AN93" s="810">
        <v>0</v>
      </c>
      <c r="AO93" s="810">
        <v>0</v>
      </c>
      <c r="AP93" s="810">
        <v>0</v>
      </c>
      <c r="AQ93" s="810">
        <v>0</v>
      </c>
      <c r="AR93" s="810">
        <v>0</v>
      </c>
      <c r="AS93" s="810">
        <v>0</v>
      </c>
      <c r="AT93" s="810">
        <v>0</v>
      </c>
      <c r="AU93" s="810">
        <f t="shared" si="1"/>
        <v>0</v>
      </c>
      <c r="AV93" s="810">
        <v>17926.86</v>
      </c>
      <c r="AW93" s="810">
        <v>36284.28</v>
      </c>
      <c r="AX93" s="811">
        <v>87</v>
      </c>
      <c r="AY93" s="811">
        <v>360</v>
      </c>
      <c r="AZ93" s="810">
        <v>218346.13</v>
      </c>
      <c r="BA93" s="810">
        <v>64350</v>
      </c>
      <c r="BB93" s="812">
        <v>90</v>
      </c>
      <c r="BC93" s="812">
        <v>74.188727272727306</v>
      </c>
      <c r="BD93" s="812">
        <v>10</v>
      </c>
      <c r="BE93" s="812"/>
      <c r="BF93" s="808" t="s">
        <v>815</v>
      </c>
      <c r="BG93" s="805"/>
      <c r="BH93" s="808" t="s">
        <v>903</v>
      </c>
      <c r="BI93" s="808" t="s">
        <v>699</v>
      </c>
      <c r="BJ93" s="808" t="s">
        <v>904</v>
      </c>
      <c r="BK93" s="808" t="s">
        <v>338</v>
      </c>
      <c r="BL93" s="806" t="s">
        <v>2</v>
      </c>
      <c r="BM93" s="812">
        <v>435411.11497936002</v>
      </c>
      <c r="BN93" s="806" t="s">
        <v>740</v>
      </c>
      <c r="BO93" s="812"/>
      <c r="BP93" s="813">
        <v>37245</v>
      </c>
      <c r="BQ93" s="813">
        <v>48182</v>
      </c>
      <c r="BR93" s="812">
        <v>28015.25</v>
      </c>
      <c r="BS93" s="812">
        <v>90</v>
      </c>
      <c r="BT93" s="812">
        <v>52.15</v>
      </c>
    </row>
    <row r="94" spans="1:72" s="802" customFormat="1" ht="18.2" customHeight="1" x14ac:dyDescent="0.15">
      <c r="A94" s="814">
        <v>92</v>
      </c>
      <c r="B94" s="815" t="s">
        <v>413</v>
      </c>
      <c r="C94" s="815" t="s">
        <v>25</v>
      </c>
      <c r="D94" s="816">
        <v>45505</v>
      </c>
      <c r="E94" s="817" t="s">
        <v>577</v>
      </c>
      <c r="F94" s="818">
        <v>223</v>
      </c>
      <c r="G94" s="818">
        <v>222</v>
      </c>
      <c r="H94" s="819">
        <v>44107.59</v>
      </c>
      <c r="I94" s="819">
        <v>33070.769999999997</v>
      </c>
      <c r="J94" s="819">
        <v>0</v>
      </c>
      <c r="K94" s="819">
        <v>77178.36</v>
      </c>
      <c r="L94" s="819">
        <v>329.68</v>
      </c>
      <c r="M94" s="819">
        <v>0</v>
      </c>
      <c r="N94" s="819">
        <v>0</v>
      </c>
      <c r="O94" s="819">
        <v>0</v>
      </c>
      <c r="P94" s="819">
        <v>0</v>
      </c>
      <c r="Q94" s="819">
        <v>0</v>
      </c>
      <c r="R94" s="819">
        <v>0</v>
      </c>
      <c r="S94" s="819">
        <v>77178.36</v>
      </c>
      <c r="T94" s="819">
        <v>122525.75999999999</v>
      </c>
      <c r="U94" s="819">
        <v>371.22</v>
      </c>
      <c r="V94" s="819">
        <v>0</v>
      </c>
      <c r="W94" s="819">
        <v>0</v>
      </c>
      <c r="X94" s="819">
        <v>0</v>
      </c>
      <c r="Y94" s="819">
        <v>0</v>
      </c>
      <c r="Z94" s="819">
        <v>0</v>
      </c>
      <c r="AA94" s="819">
        <v>122896.98</v>
      </c>
      <c r="AB94" s="819">
        <v>0</v>
      </c>
      <c r="AC94" s="819">
        <v>0</v>
      </c>
      <c r="AD94" s="819">
        <v>0</v>
      </c>
      <c r="AE94" s="819">
        <v>0</v>
      </c>
      <c r="AF94" s="819">
        <v>0</v>
      </c>
      <c r="AG94" s="819">
        <v>0</v>
      </c>
      <c r="AH94" s="819">
        <v>0</v>
      </c>
      <c r="AI94" s="819">
        <v>0</v>
      </c>
      <c r="AJ94" s="819">
        <v>0</v>
      </c>
      <c r="AK94" s="819">
        <v>0</v>
      </c>
      <c r="AL94" s="819">
        <v>0</v>
      </c>
      <c r="AM94" s="819">
        <v>0</v>
      </c>
      <c r="AN94" s="819">
        <v>0</v>
      </c>
      <c r="AO94" s="819">
        <v>0</v>
      </c>
      <c r="AP94" s="819">
        <v>0</v>
      </c>
      <c r="AQ94" s="819">
        <v>0</v>
      </c>
      <c r="AR94" s="819">
        <v>0</v>
      </c>
      <c r="AS94" s="819">
        <v>0</v>
      </c>
      <c r="AT94" s="819">
        <v>0</v>
      </c>
      <c r="AU94" s="819">
        <f t="shared" si="1"/>
        <v>0</v>
      </c>
      <c r="AV94" s="819">
        <v>33400.449999999997</v>
      </c>
      <c r="AW94" s="819">
        <v>122896.98</v>
      </c>
      <c r="AX94" s="820">
        <v>89</v>
      </c>
      <c r="AY94" s="820">
        <v>360</v>
      </c>
      <c r="AZ94" s="819">
        <v>269115.34999999998</v>
      </c>
      <c r="BA94" s="819">
        <v>79200</v>
      </c>
      <c r="BB94" s="821">
        <v>90</v>
      </c>
      <c r="BC94" s="821">
        <v>87.702681818181802</v>
      </c>
      <c r="BD94" s="821">
        <v>10.1</v>
      </c>
      <c r="BE94" s="821"/>
      <c r="BF94" s="817" t="s">
        <v>815</v>
      </c>
      <c r="BG94" s="814"/>
      <c r="BH94" s="817" t="s">
        <v>540</v>
      </c>
      <c r="BI94" s="817" t="s">
        <v>840</v>
      </c>
      <c r="BJ94" s="817"/>
      <c r="BK94" s="817" t="s">
        <v>338</v>
      </c>
      <c r="BL94" s="815" t="s">
        <v>2</v>
      </c>
      <c r="BM94" s="821">
        <v>633506.52823584003</v>
      </c>
      <c r="BN94" s="815" t="s">
        <v>740</v>
      </c>
      <c r="BO94" s="821"/>
      <c r="BP94" s="822">
        <v>37278</v>
      </c>
      <c r="BQ94" s="822">
        <v>48214</v>
      </c>
      <c r="BR94" s="821">
        <v>65945.81</v>
      </c>
      <c r="BS94" s="821">
        <v>100</v>
      </c>
      <c r="BT94" s="821">
        <v>29.17</v>
      </c>
    </row>
    <row r="95" spans="1:72" s="802" customFormat="1" ht="18.2" customHeight="1" x14ac:dyDescent="0.15">
      <c r="A95" s="805">
        <v>93</v>
      </c>
      <c r="B95" s="806" t="s">
        <v>413</v>
      </c>
      <c r="C95" s="806" t="s">
        <v>25</v>
      </c>
      <c r="D95" s="807">
        <v>45505</v>
      </c>
      <c r="E95" s="808" t="s">
        <v>906</v>
      </c>
      <c r="F95" s="809">
        <v>1</v>
      </c>
      <c r="G95" s="809">
        <v>2</v>
      </c>
      <c r="H95" s="810">
        <v>48225.61</v>
      </c>
      <c r="I95" s="810">
        <v>847.97</v>
      </c>
      <c r="J95" s="810">
        <v>0</v>
      </c>
      <c r="K95" s="810">
        <v>49073.58</v>
      </c>
      <c r="L95" s="810">
        <v>429.4</v>
      </c>
      <c r="M95" s="810">
        <v>0</v>
      </c>
      <c r="N95" s="810">
        <v>0</v>
      </c>
      <c r="O95" s="810">
        <v>421.8</v>
      </c>
      <c r="P95" s="810">
        <v>429.4</v>
      </c>
      <c r="Q95" s="810">
        <v>0</v>
      </c>
      <c r="R95" s="810">
        <v>0</v>
      </c>
      <c r="S95" s="810">
        <v>48222.37</v>
      </c>
      <c r="T95" s="810">
        <v>575.98</v>
      </c>
      <c r="U95" s="810">
        <v>409.89</v>
      </c>
      <c r="V95" s="810">
        <v>0</v>
      </c>
      <c r="W95" s="810">
        <v>575.98</v>
      </c>
      <c r="X95" s="810">
        <v>199.01</v>
      </c>
      <c r="Y95" s="810">
        <v>0</v>
      </c>
      <c r="Z95" s="810">
        <v>0</v>
      </c>
      <c r="AA95" s="810">
        <v>210.88</v>
      </c>
      <c r="AB95" s="810">
        <v>100</v>
      </c>
      <c r="AC95" s="810">
        <v>0</v>
      </c>
      <c r="AD95" s="810">
        <v>0</v>
      </c>
      <c r="AE95" s="810">
        <v>0</v>
      </c>
      <c r="AF95" s="810">
        <v>29.03</v>
      </c>
      <c r="AG95" s="810">
        <v>0</v>
      </c>
      <c r="AH95" s="810">
        <v>111.9</v>
      </c>
      <c r="AI95" s="810">
        <v>78.33</v>
      </c>
      <c r="AJ95" s="810">
        <v>100</v>
      </c>
      <c r="AK95" s="810">
        <v>0</v>
      </c>
      <c r="AL95" s="810">
        <v>0</v>
      </c>
      <c r="AM95" s="810">
        <v>29.03</v>
      </c>
      <c r="AN95" s="810">
        <v>0</v>
      </c>
      <c r="AO95" s="810">
        <v>111.9</v>
      </c>
      <c r="AP95" s="810">
        <v>78.33</v>
      </c>
      <c r="AQ95" s="810">
        <v>0</v>
      </c>
      <c r="AR95" s="810">
        <v>0</v>
      </c>
      <c r="AS95" s="810">
        <v>3.6549999999999998E-3</v>
      </c>
      <c r="AT95" s="810">
        <v>0</v>
      </c>
      <c r="AU95" s="810">
        <f t="shared" si="1"/>
        <v>2264.7063450000001</v>
      </c>
      <c r="AV95" s="810">
        <v>429.4</v>
      </c>
      <c r="AW95" s="810">
        <v>210.88</v>
      </c>
      <c r="AX95" s="811">
        <v>89</v>
      </c>
      <c r="AY95" s="811">
        <v>360</v>
      </c>
      <c r="AZ95" s="810">
        <v>321315.45</v>
      </c>
      <c r="BA95" s="810">
        <v>94050</v>
      </c>
      <c r="BB95" s="812">
        <v>90</v>
      </c>
      <c r="BC95" s="812">
        <v>46.145808612440199</v>
      </c>
      <c r="BD95" s="812">
        <v>10.199999999999999</v>
      </c>
      <c r="BE95" s="812"/>
      <c r="BF95" s="808" t="s">
        <v>815</v>
      </c>
      <c r="BG95" s="805"/>
      <c r="BH95" s="808" t="s">
        <v>834</v>
      </c>
      <c r="BI95" s="808" t="s">
        <v>851</v>
      </c>
      <c r="BJ95" s="808"/>
      <c r="BK95" s="808" t="s">
        <v>828</v>
      </c>
      <c r="BL95" s="806" t="s">
        <v>2</v>
      </c>
      <c r="BM95" s="812">
        <v>395825.80145527999</v>
      </c>
      <c r="BN95" s="806" t="s">
        <v>740</v>
      </c>
      <c r="BO95" s="812"/>
      <c r="BP95" s="813">
        <v>37293</v>
      </c>
      <c r="BQ95" s="813">
        <v>48245</v>
      </c>
      <c r="BR95" s="812">
        <v>0</v>
      </c>
      <c r="BS95" s="812">
        <v>100</v>
      </c>
      <c r="BT95" s="812">
        <v>29.03</v>
      </c>
    </row>
    <row r="96" spans="1:72" s="802" customFormat="1" ht="18.2" customHeight="1" x14ac:dyDescent="0.15">
      <c r="A96" s="814">
        <v>94</v>
      </c>
      <c r="B96" s="815" t="s">
        <v>413</v>
      </c>
      <c r="C96" s="815" t="s">
        <v>25</v>
      </c>
      <c r="D96" s="816">
        <v>45505</v>
      </c>
      <c r="E96" s="817" t="s">
        <v>907</v>
      </c>
      <c r="F96" s="818">
        <v>1</v>
      </c>
      <c r="G96" s="818">
        <v>0</v>
      </c>
      <c r="H96" s="819">
        <v>48159.96</v>
      </c>
      <c r="I96" s="819">
        <v>0</v>
      </c>
      <c r="J96" s="819">
        <v>0</v>
      </c>
      <c r="K96" s="819">
        <v>48159.96</v>
      </c>
      <c r="L96" s="819">
        <v>426.6</v>
      </c>
      <c r="M96" s="819">
        <v>0</v>
      </c>
      <c r="N96" s="819">
        <v>0</v>
      </c>
      <c r="O96" s="819">
        <v>0</v>
      </c>
      <c r="P96" s="819">
        <v>0</v>
      </c>
      <c r="Q96" s="819">
        <v>0</v>
      </c>
      <c r="R96" s="819">
        <v>0</v>
      </c>
      <c r="S96" s="819">
        <v>48159.96</v>
      </c>
      <c r="T96" s="819">
        <v>0</v>
      </c>
      <c r="U96" s="819">
        <v>412.69</v>
      </c>
      <c r="V96" s="819">
        <v>0</v>
      </c>
      <c r="W96" s="819">
        <v>0</v>
      </c>
      <c r="X96" s="819">
        <v>0</v>
      </c>
      <c r="Y96" s="819">
        <v>0</v>
      </c>
      <c r="Z96" s="819">
        <v>0</v>
      </c>
      <c r="AA96" s="819">
        <v>412.69</v>
      </c>
      <c r="AB96" s="819">
        <v>0</v>
      </c>
      <c r="AC96" s="819">
        <v>0</v>
      </c>
      <c r="AD96" s="819">
        <v>0</v>
      </c>
      <c r="AE96" s="819">
        <v>0</v>
      </c>
      <c r="AF96" s="819">
        <v>0</v>
      </c>
      <c r="AG96" s="819">
        <v>0</v>
      </c>
      <c r="AH96" s="819">
        <v>0</v>
      </c>
      <c r="AI96" s="819">
        <v>0</v>
      </c>
      <c r="AJ96" s="819">
        <v>0</v>
      </c>
      <c r="AK96" s="819">
        <v>0</v>
      </c>
      <c r="AL96" s="819">
        <v>0</v>
      </c>
      <c r="AM96" s="819">
        <v>0</v>
      </c>
      <c r="AN96" s="819">
        <v>0</v>
      </c>
      <c r="AO96" s="819">
        <v>0</v>
      </c>
      <c r="AP96" s="819">
        <v>0.04</v>
      </c>
      <c r="AQ96" s="819">
        <v>0</v>
      </c>
      <c r="AR96" s="819">
        <v>0</v>
      </c>
      <c r="AS96" s="819">
        <v>3.8984999999999999E-2</v>
      </c>
      <c r="AT96" s="819">
        <v>0</v>
      </c>
      <c r="AU96" s="819">
        <f t="shared" si="1"/>
        <v>1.015000000000002E-3</v>
      </c>
      <c r="AV96" s="819">
        <v>426.6</v>
      </c>
      <c r="AW96" s="819">
        <v>412.69</v>
      </c>
      <c r="AX96" s="820">
        <v>89</v>
      </c>
      <c r="AY96" s="820">
        <v>360</v>
      </c>
      <c r="AZ96" s="819">
        <v>322234.74</v>
      </c>
      <c r="BA96" s="819">
        <v>94050</v>
      </c>
      <c r="BB96" s="821">
        <v>90</v>
      </c>
      <c r="BC96" s="821">
        <v>46.086086124401902</v>
      </c>
      <c r="BD96" s="821">
        <v>10.199999999999999</v>
      </c>
      <c r="BE96" s="821"/>
      <c r="BF96" s="817" t="s">
        <v>815</v>
      </c>
      <c r="BG96" s="814"/>
      <c r="BH96" s="817" t="s">
        <v>834</v>
      </c>
      <c r="BI96" s="817" t="s">
        <v>851</v>
      </c>
      <c r="BJ96" s="817"/>
      <c r="BK96" s="817" t="s">
        <v>828</v>
      </c>
      <c r="BL96" s="815" t="s">
        <v>2</v>
      </c>
      <c r="BM96" s="821">
        <v>395313.51870623999</v>
      </c>
      <c r="BN96" s="815" t="s">
        <v>740</v>
      </c>
      <c r="BO96" s="821"/>
      <c r="BP96" s="822">
        <v>37301</v>
      </c>
      <c r="BQ96" s="822">
        <v>48245</v>
      </c>
      <c r="BR96" s="821">
        <v>290.22000000000003</v>
      </c>
      <c r="BS96" s="821">
        <v>100</v>
      </c>
      <c r="BT96" s="821">
        <v>28.96</v>
      </c>
    </row>
    <row r="97" spans="1:72" s="802" customFormat="1" ht="18.2" customHeight="1" x14ac:dyDescent="0.15">
      <c r="A97" s="805">
        <v>95</v>
      </c>
      <c r="B97" s="806" t="s">
        <v>413</v>
      </c>
      <c r="C97" s="806" t="s">
        <v>25</v>
      </c>
      <c r="D97" s="807">
        <v>45505</v>
      </c>
      <c r="E97" s="808" t="s">
        <v>908</v>
      </c>
      <c r="F97" s="809">
        <v>0</v>
      </c>
      <c r="G97" s="809">
        <v>0</v>
      </c>
      <c r="H97" s="810">
        <v>29004.18</v>
      </c>
      <c r="I97" s="810">
        <v>0</v>
      </c>
      <c r="J97" s="810">
        <v>0</v>
      </c>
      <c r="K97" s="810">
        <v>29004.18</v>
      </c>
      <c r="L97" s="810">
        <v>323.02</v>
      </c>
      <c r="M97" s="810">
        <v>0</v>
      </c>
      <c r="N97" s="810">
        <v>0</v>
      </c>
      <c r="O97" s="810">
        <v>0</v>
      </c>
      <c r="P97" s="810">
        <v>323.02</v>
      </c>
      <c r="Q97" s="810">
        <v>0</v>
      </c>
      <c r="R97" s="810">
        <v>0</v>
      </c>
      <c r="S97" s="810">
        <v>28681.16</v>
      </c>
      <c r="T97" s="810">
        <v>0</v>
      </c>
      <c r="U97" s="810">
        <v>241.7</v>
      </c>
      <c r="V97" s="810">
        <v>0</v>
      </c>
      <c r="W97" s="810">
        <v>0</v>
      </c>
      <c r="X97" s="810">
        <v>241.7</v>
      </c>
      <c r="Y97" s="810">
        <v>0</v>
      </c>
      <c r="Z97" s="810">
        <v>0</v>
      </c>
      <c r="AA97" s="810">
        <v>0</v>
      </c>
      <c r="AB97" s="810">
        <v>90</v>
      </c>
      <c r="AC97" s="810">
        <v>0</v>
      </c>
      <c r="AD97" s="810">
        <v>25</v>
      </c>
      <c r="AE97" s="810">
        <v>0</v>
      </c>
      <c r="AF97" s="810">
        <v>0</v>
      </c>
      <c r="AG97" s="810">
        <v>0</v>
      </c>
      <c r="AH97" s="810">
        <v>79.72</v>
      </c>
      <c r="AI97" s="810">
        <v>45.43</v>
      </c>
      <c r="AJ97" s="810">
        <v>0</v>
      </c>
      <c r="AK97" s="810">
        <v>0</v>
      </c>
      <c r="AL97" s="810">
        <v>0</v>
      </c>
      <c r="AM97" s="810">
        <v>0</v>
      </c>
      <c r="AN97" s="810">
        <v>0</v>
      </c>
      <c r="AO97" s="810">
        <v>0</v>
      </c>
      <c r="AP97" s="810">
        <v>0</v>
      </c>
      <c r="AQ97" s="810">
        <v>0.14099999999999999</v>
      </c>
      <c r="AR97" s="810">
        <v>0</v>
      </c>
      <c r="AS97" s="810">
        <v>0</v>
      </c>
      <c r="AT97" s="810">
        <v>0</v>
      </c>
      <c r="AU97" s="810">
        <f t="shared" si="1"/>
        <v>805.01099999999997</v>
      </c>
      <c r="AV97" s="810">
        <v>0</v>
      </c>
      <c r="AW97" s="810">
        <v>0</v>
      </c>
      <c r="AX97" s="811">
        <v>90</v>
      </c>
      <c r="AY97" s="811">
        <v>360</v>
      </c>
      <c r="AZ97" s="810">
        <v>220534.03</v>
      </c>
      <c r="BA97" s="810">
        <v>64350</v>
      </c>
      <c r="BB97" s="812">
        <v>90</v>
      </c>
      <c r="BC97" s="812">
        <v>40.113510489510503</v>
      </c>
      <c r="BD97" s="812">
        <v>10</v>
      </c>
      <c r="BE97" s="812"/>
      <c r="BF97" s="808" t="s">
        <v>815</v>
      </c>
      <c r="BG97" s="805"/>
      <c r="BH97" s="808" t="s">
        <v>540</v>
      </c>
      <c r="BI97" s="808" t="s">
        <v>909</v>
      </c>
      <c r="BJ97" s="808" t="s">
        <v>910</v>
      </c>
      <c r="BK97" s="808" t="s">
        <v>309</v>
      </c>
      <c r="BL97" s="806" t="s">
        <v>2</v>
      </c>
      <c r="BM97" s="812">
        <v>235424.82759904</v>
      </c>
      <c r="BN97" s="806" t="s">
        <v>740</v>
      </c>
      <c r="BO97" s="812"/>
      <c r="BP97" s="813">
        <v>37328</v>
      </c>
      <c r="BQ97" s="813">
        <v>48273</v>
      </c>
      <c r="BR97" s="812">
        <v>0</v>
      </c>
      <c r="BS97" s="812">
        <v>90</v>
      </c>
      <c r="BT97" s="812">
        <v>25</v>
      </c>
    </row>
    <row r="98" spans="1:72" s="802" customFormat="1" ht="18.2" customHeight="1" x14ac:dyDescent="0.15">
      <c r="A98" s="814">
        <v>96</v>
      </c>
      <c r="B98" s="815" t="s">
        <v>413</v>
      </c>
      <c r="C98" s="815" t="s">
        <v>25</v>
      </c>
      <c r="D98" s="816">
        <v>45505</v>
      </c>
      <c r="E98" s="817" t="s">
        <v>911</v>
      </c>
      <c r="F98" s="818">
        <v>0</v>
      </c>
      <c r="G98" s="818">
        <v>0</v>
      </c>
      <c r="H98" s="819">
        <v>35900.699999999997</v>
      </c>
      <c r="I98" s="819">
        <v>0</v>
      </c>
      <c r="J98" s="819">
        <v>0</v>
      </c>
      <c r="K98" s="819">
        <v>35900.699999999997</v>
      </c>
      <c r="L98" s="819">
        <v>265.55</v>
      </c>
      <c r="M98" s="819">
        <v>0</v>
      </c>
      <c r="N98" s="819">
        <v>0</v>
      </c>
      <c r="O98" s="819">
        <v>0</v>
      </c>
      <c r="P98" s="819">
        <v>265.55</v>
      </c>
      <c r="Q98" s="819">
        <v>0</v>
      </c>
      <c r="R98" s="819">
        <v>0</v>
      </c>
      <c r="S98" s="819">
        <v>35635.15</v>
      </c>
      <c r="T98" s="819">
        <v>0</v>
      </c>
      <c r="U98" s="819">
        <v>299.17</v>
      </c>
      <c r="V98" s="819">
        <v>0</v>
      </c>
      <c r="W98" s="819">
        <v>0</v>
      </c>
      <c r="X98" s="819">
        <v>299.17</v>
      </c>
      <c r="Y98" s="819">
        <v>0</v>
      </c>
      <c r="Z98" s="819">
        <v>0</v>
      </c>
      <c r="AA98" s="819">
        <v>0</v>
      </c>
      <c r="AB98" s="819">
        <v>90</v>
      </c>
      <c r="AC98" s="819">
        <v>0</v>
      </c>
      <c r="AD98" s="819">
        <v>25</v>
      </c>
      <c r="AE98" s="819">
        <v>0</v>
      </c>
      <c r="AF98" s="819">
        <v>0</v>
      </c>
      <c r="AG98" s="819">
        <v>0</v>
      </c>
      <c r="AH98" s="819">
        <v>79.72</v>
      </c>
      <c r="AI98" s="819">
        <v>45.38</v>
      </c>
      <c r="AJ98" s="819">
        <v>0</v>
      </c>
      <c r="AK98" s="819">
        <v>0</v>
      </c>
      <c r="AL98" s="819">
        <v>0</v>
      </c>
      <c r="AM98" s="819">
        <v>0</v>
      </c>
      <c r="AN98" s="819">
        <v>0</v>
      </c>
      <c r="AO98" s="819">
        <v>0</v>
      </c>
      <c r="AP98" s="819">
        <v>0</v>
      </c>
      <c r="AQ98" s="819">
        <v>0</v>
      </c>
      <c r="AR98" s="819">
        <v>0</v>
      </c>
      <c r="AS98" s="819">
        <v>0</v>
      </c>
      <c r="AT98" s="819">
        <v>0</v>
      </c>
      <c r="AU98" s="819">
        <f t="shared" si="1"/>
        <v>804.81999999999994</v>
      </c>
      <c r="AV98" s="819">
        <v>0</v>
      </c>
      <c r="AW98" s="819">
        <v>0</v>
      </c>
      <c r="AX98" s="820">
        <v>90</v>
      </c>
      <c r="AY98" s="820">
        <v>360</v>
      </c>
      <c r="AZ98" s="819">
        <v>220618.76</v>
      </c>
      <c r="BA98" s="819">
        <v>64350</v>
      </c>
      <c r="BB98" s="821">
        <v>90</v>
      </c>
      <c r="BC98" s="821">
        <v>49.839370629370599</v>
      </c>
      <c r="BD98" s="821">
        <v>10</v>
      </c>
      <c r="BE98" s="821"/>
      <c r="BF98" s="817" t="s">
        <v>815</v>
      </c>
      <c r="BG98" s="814"/>
      <c r="BH98" s="817" t="s">
        <v>903</v>
      </c>
      <c r="BI98" s="817" t="s">
        <v>912</v>
      </c>
      <c r="BJ98" s="817" t="s">
        <v>913</v>
      </c>
      <c r="BK98" s="817" t="s">
        <v>309</v>
      </c>
      <c r="BL98" s="815" t="s">
        <v>2</v>
      </c>
      <c r="BM98" s="821">
        <v>292505.56969159999</v>
      </c>
      <c r="BN98" s="815" t="s">
        <v>740</v>
      </c>
      <c r="BO98" s="821"/>
      <c r="BP98" s="822">
        <v>37342</v>
      </c>
      <c r="BQ98" s="822">
        <v>48273</v>
      </c>
      <c r="BR98" s="821">
        <v>0</v>
      </c>
      <c r="BS98" s="821">
        <v>90</v>
      </c>
      <c r="BT98" s="821">
        <v>25</v>
      </c>
    </row>
    <row r="99" spans="1:72" s="802" customFormat="1" ht="18.2" customHeight="1" x14ac:dyDescent="0.15">
      <c r="A99" s="805">
        <v>97</v>
      </c>
      <c r="B99" s="806" t="s">
        <v>413</v>
      </c>
      <c r="C99" s="806" t="s">
        <v>25</v>
      </c>
      <c r="D99" s="807">
        <v>45505</v>
      </c>
      <c r="E99" s="808" t="s">
        <v>914</v>
      </c>
      <c r="F99" s="809">
        <v>0</v>
      </c>
      <c r="G99" s="809">
        <v>0</v>
      </c>
      <c r="H99" s="810">
        <v>34260.410000000003</v>
      </c>
      <c r="I99" s="810">
        <v>0</v>
      </c>
      <c r="J99" s="810">
        <v>0</v>
      </c>
      <c r="K99" s="810">
        <v>34260.410000000003</v>
      </c>
      <c r="L99" s="810">
        <v>279.22000000000003</v>
      </c>
      <c r="M99" s="810">
        <v>0</v>
      </c>
      <c r="N99" s="810">
        <v>0</v>
      </c>
      <c r="O99" s="810">
        <v>0</v>
      </c>
      <c r="P99" s="810">
        <v>279.22000000000003</v>
      </c>
      <c r="Q99" s="810">
        <v>0</v>
      </c>
      <c r="R99" s="810">
        <v>0</v>
      </c>
      <c r="S99" s="810">
        <v>33981.19</v>
      </c>
      <c r="T99" s="810">
        <v>0</v>
      </c>
      <c r="U99" s="810">
        <v>285.5</v>
      </c>
      <c r="V99" s="810">
        <v>0</v>
      </c>
      <c r="W99" s="810">
        <v>0</v>
      </c>
      <c r="X99" s="810">
        <v>285.5</v>
      </c>
      <c r="Y99" s="810">
        <v>0</v>
      </c>
      <c r="Z99" s="810">
        <v>0</v>
      </c>
      <c r="AA99" s="810">
        <v>0</v>
      </c>
      <c r="AB99" s="810">
        <v>90</v>
      </c>
      <c r="AC99" s="810">
        <v>0</v>
      </c>
      <c r="AD99" s="810">
        <v>25</v>
      </c>
      <c r="AE99" s="810">
        <v>0</v>
      </c>
      <c r="AF99" s="810">
        <v>0</v>
      </c>
      <c r="AG99" s="810">
        <v>0</v>
      </c>
      <c r="AH99" s="810">
        <v>79.72</v>
      </c>
      <c r="AI99" s="810">
        <v>45.13</v>
      </c>
      <c r="AJ99" s="810">
        <v>0</v>
      </c>
      <c r="AK99" s="810">
        <v>0</v>
      </c>
      <c r="AL99" s="810">
        <v>0</v>
      </c>
      <c r="AM99" s="810">
        <v>0</v>
      </c>
      <c r="AN99" s="810">
        <v>0</v>
      </c>
      <c r="AO99" s="810">
        <v>0</v>
      </c>
      <c r="AP99" s="810">
        <v>0</v>
      </c>
      <c r="AQ99" s="810">
        <v>0.05</v>
      </c>
      <c r="AR99" s="810">
        <v>0</v>
      </c>
      <c r="AS99" s="810">
        <v>0</v>
      </c>
      <c r="AT99" s="810">
        <v>0</v>
      </c>
      <c r="AU99" s="810">
        <f t="shared" si="1"/>
        <v>804.62</v>
      </c>
      <c r="AV99" s="810">
        <v>0</v>
      </c>
      <c r="AW99" s="810">
        <v>0</v>
      </c>
      <c r="AX99" s="811">
        <v>91</v>
      </c>
      <c r="AY99" s="811">
        <v>360</v>
      </c>
      <c r="AZ99" s="810">
        <v>221761.18</v>
      </c>
      <c r="BA99" s="810">
        <v>64350</v>
      </c>
      <c r="BB99" s="812">
        <v>90</v>
      </c>
      <c r="BC99" s="812">
        <v>47.526139860139899</v>
      </c>
      <c r="BD99" s="812">
        <v>10</v>
      </c>
      <c r="BE99" s="812"/>
      <c r="BF99" s="808" t="s">
        <v>815</v>
      </c>
      <c r="BG99" s="805"/>
      <c r="BH99" s="808" t="s">
        <v>540</v>
      </c>
      <c r="BI99" s="808" t="s">
        <v>909</v>
      </c>
      <c r="BJ99" s="808" t="s">
        <v>910</v>
      </c>
      <c r="BK99" s="808" t="s">
        <v>309</v>
      </c>
      <c r="BL99" s="806" t="s">
        <v>2</v>
      </c>
      <c r="BM99" s="812">
        <v>278929.29704936</v>
      </c>
      <c r="BN99" s="806" t="s">
        <v>740</v>
      </c>
      <c r="BO99" s="812"/>
      <c r="BP99" s="813">
        <v>37365</v>
      </c>
      <c r="BQ99" s="813">
        <v>48305</v>
      </c>
      <c r="BR99" s="812">
        <v>0</v>
      </c>
      <c r="BS99" s="812">
        <v>90</v>
      </c>
      <c r="BT99" s="812">
        <v>25</v>
      </c>
    </row>
    <row r="100" spans="1:72" s="802" customFormat="1" ht="18.2" customHeight="1" x14ac:dyDescent="0.15">
      <c r="A100" s="814">
        <v>98</v>
      </c>
      <c r="B100" s="815" t="s">
        <v>413</v>
      </c>
      <c r="C100" s="815" t="s">
        <v>25</v>
      </c>
      <c r="D100" s="816">
        <v>45505</v>
      </c>
      <c r="E100" s="817" t="s">
        <v>578</v>
      </c>
      <c r="F100" s="818">
        <v>77</v>
      </c>
      <c r="G100" s="818">
        <v>76</v>
      </c>
      <c r="H100" s="819">
        <v>36445.089999999997</v>
      </c>
      <c r="I100" s="819">
        <v>14648.69</v>
      </c>
      <c r="J100" s="819">
        <v>0</v>
      </c>
      <c r="K100" s="819">
        <v>51093.78</v>
      </c>
      <c r="L100" s="819">
        <v>261.02999999999997</v>
      </c>
      <c r="M100" s="819">
        <v>0</v>
      </c>
      <c r="N100" s="819">
        <v>0</v>
      </c>
      <c r="O100" s="819">
        <v>0</v>
      </c>
      <c r="P100" s="819">
        <v>0</v>
      </c>
      <c r="Q100" s="819">
        <v>0</v>
      </c>
      <c r="R100" s="819">
        <v>0</v>
      </c>
      <c r="S100" s="819">
        <v>51093.78</v>
      </c>
      <c r="T100" s="819">
        <v>28268.11</v>
      </c>
      <c r="U100" s="819">
        <v>303.69</v>
      </c>
      <c r="V100" s="819">
        <v>0</v>
      </c>
      <c r="W100" s="819">
        <v>0</v>
      </c>
      <c r="X100" s="819">
        <v>0</v>
      </c>
      <c r="Y100" s="819">
        <v>0</v>
      </c>
      <c r="Z100" s="819">
        <v>0</v>
      </c>
      <c r="AA100" s="819">
        <v>28571.8</v>
      </c>
      <c r="AB100" s="819">
        <v>0</v>
      </c>
      <c r="AC100" s="819">
        <v>0</v>
      </c>
      <c r="AD100" s="819">
        <v>0</v>
      </c>
      <c r="AE100" s="819">
        <v>0</v>
      </c>
      <c r="AF100" s="819">
        <v>0</v>
      </c>
      <c r="AG100" s="819">
        <v>0</v>
      </c>
      <c r="AH100" s="819">
        <v>0</v>
      </c>
      <c r="AI100" s="819">
        <v>0</v>
      </c>
      <c r="AJ100" s="819">
        <v>0</v>
      </c>
      <c r="AK100" s="819">
        <v>0</v>
      </c>
      <c r="AL100" s="819">
        <v>0</v>
      </c>
      <c r="AM100" s="819">
        <v>0</v>
      </c>
      <c r="AN100" s="819">
        <v>0</v>
      </c>
      <c r="AO100" s="819">
        <v>0</v>
      </c>
      <c r="AP100" s="819">
        <v>0</v>
      </c>
      <c r="AQ100" s="819">
        <v>0</v>
      </c>
      <c r="AR100" s="819">
        <v>0</v>
      </c>
      <c r="AS100" s="819">
        <v>0</v>
      </c>
      <c r="AT100" s="819">
        <v>0</v>
      </c>
      <c r="AU100" s="819">
        <f t="shared" si="1"/>
        <v>0</v>
      </c>
      <c r="AV100" s="819">
        <v>14909.72</v>
      </c>
      <c r="AW100" s="819">
        <v>28571.8</v>
      </c>
      <c r="AX100" s="820">
        <v>91</v>
      </c>
      <c r="AY100" s="820">
        <v>360</v>
      </c>
      <c r="AZ100" s="819">
        <v>220977.76</v>
      </c>
      <c r="BA100" s="819">
        <v>64350</v>
      </c>
      <c r="BB100" s="821">
        <v>90</v>
      </c>
      <c r="BC100" s="821">
        <v>71.459832167832204</v>
      </c>
      <c r="BD100" s="821">
        <v>10</v>
      </c>
      <c r="BE100" s="821"/>
      <c r="BF100" s="817" t="s">
        <v>815</v>
      </c>
      <c r="BG100" s="814"/>
      <c r="BH100" s="817" t="s">
        <v>540</v>
      </c>
      <c r="BI100" s="817" t="s">
        <v>909</v>
      </c>
      <c r="BJ100" s="817" t="s">
        <v>910</v>
      </c>
      <c r="BK100" s="817" t="s">
        <v>338</v>
      </c>
      <c r="BL100" s="815" t="s">
        <v>2</v>
      </c>
      <c r="BM100" s="821">
        <v>419395.32250031998</v>
      </c>
      <c r="BN100" s="815" t="s">
        <v>740</v>
      </c>
      <c r="BO100" s="821"/>
      <c r="BP100" s="822">
        <v>37351</v>
      </c>
      <c r="BQ100" s="822">
        <v>48305</v>
      </c>
      <c r="BR100" s="821">
        <v>20906.060000000001</v>
      </c>
      <c r="BS100" s="821">
        <v>90</v>
      </c>
      <c r="BT100" s="821">
        <v>52.97</v>
      </c>
    </row>
    <row r="101" spans="1:72" s="802" customFormat="1" ht="18.2" customHeight="1" x14ac:dyDescent="0.15">
      <c r="A101" s="805">
        <v>99</v>
      </c>
      <c r="B101" s="806" t="s">
        <v>413</v>
      </c>
      <c r="C101" s="806" t="s">
        <v>25</v>
      </c>
      <c r="D101" s="807">
        <v>45505</v>
      </c>
      <c r="E101" s="808" t="s">
        <v>579</v>
      </c>
      <c r="F101" s="809">
        <v>53</v>
      </c>
      <c r="G101" s="809">
        <v>52</v>
      </c>
      <c r="H101" s="810">
        <v>17658.509999999998</v>
      </c>
      <c r="I101" s="810">
        <v>17457.669999999998</v>
      </c>
      <c r="J101" s="810">
        <v>0</v>
      </c>
      <c r="K101" s="810">
        <v>35116.18</v>
      </c>
      <c r="L101" s="810">
        <v>417.59</v>
      </c>
      <c r="M101" s="810">
        <v>0</v>
      </c>
      <c r="N101" s="810">
        <v>0</v>
      </c>
      <c r="O101" s="810">
        <v>0</v>
      </c>
      <c r="P101" s="810">
        <v>0</v>
      </c>
      <c r="Q101" s="810">
        <v>0</v>
      </c>
      <c r="R101" s="810">
        <v>0</v>
      </c>
      <c r="S101" s="810">
        <v>35116.18</v>
      </c>
      <c r="T101" s="810">
        <v>11511.6</v>
      </c>
      <c r="U101" s="810">
        <v>147.13</v>
      </c>
      <c r="V101" s="810">
        <v>0</v>
      </c>
      <c r="W101" s="810">
        <v>0</v>
      </c>
      <c r="X101" s="810">
        <v>0</v>
      </c>
      <c r="Y101" s="810">
        <v>0</v>
      </c>
      <c r="Z101" s="810">
        <v>0</v>
      </c>
      <c r="AA101" s="810">
        <v>11658.73</v>
      </c>
      <c r="AB101" s="810">
        <v>0</v>
      </c>
      <c r="AC101" s="810">
        <v>0</v>
      </c>
      <c r="AD101" s="810">
        <v>0</v>
      </c>
      <c r="AE101" s="810">
        <v>0</v>
      </c>
      <c r="AF101" s="810">
        <v>0</v>
      </c>
      <c r="AG101" s="810">
        <v>0</v>
      </c>
      <c r="AH101" s="810">
        <v>0</v>
      </c>
      <c r="AI101" s="810">
        <v>0</v>
      </c>
      <c r="AJ101" s="810">
        <v>0</v>
      </c>
      <c r="AK101" s="810">
        <v>0</v>
      </c>
      <c r="AL101" s="810">
        <v>0</v>
      </c>
      <c r="AM101" s="810">
        <v>0</v>
      </c>
      <c r="AN101" s="810">
        <v>0</v>
      </c>
      <c r="AO101" s="810">
        <v>0</v>
      </c>
      <c r="AP101" s="810">
        <v>0</v>
      </c>
      <c r="AQ101" s="810">
        <v>0</v>
      </c>
      <c r="AR101" s="810">
        <v>0</v>
      </c>
      <c r="AS101" s="810">
        <v>0</v>
      </c>
      <c r="AT101" s="810">
        <v>0</v>
      </c>
      <c r="AU101" s="810">
        <f t="shared" si="1"/>
        <v>0</v>
      </c>
      <c r="AV101" s="810">
        <v>17875.259999999998</v>
      </c>
      <c r="AW101" s="810">
        <v>11658.73</v>
      </c>
      <c r="AX101" s="811">
        <v>42</v>
      </c>
      <c r="AY101" s="811">
        <v>360</v>
      </c>
      <c r="AZ101" s="810">
        <v>220977.76</v>
      </c>
      <c r="BA101" s="810">
        <v>64350</v>
      </c>
      <c r="BB101" s="812">
        <v>90</v>
      </c>
      <c r="BC101" s="812">
        <v>49.113538461538496</v>
      </c>
      <c r="BD101" s="812">
        <v>10</v>
      </c>
      <c r="BE101" s="812"/>
      <c r="BF101" s="808" t="s">
        <v>815</v>
      </c>
      <c r="BG101" s="805"/>
      <c r="BH101" s="808" t="s">
        <v>540</v>
      </c>
      <c r="BI101" s="808" t="s">
        <v>909</v>
      </c>
      <c r="BJ101" s="808" t="s">
        <v>910</v>
      </c>
      <c r="BK101" s="808" t="s">
        <v>338</v>
      </c>
      <c r="BL101" s="806" t="s">
        <v>2</v>
      </c>
      <c r="BM101" s="812">
        <v>288245.68540592003</v>
      </c>
      <c r="BN101" s="806" t="s">
        <v>740</v>
      </c>
      <c r="BO101" s="812"/>
      <c r="BP101" s="813">
        <v>37351</v>
      </c>
      <c r="BQ101" s="813">
        <v>48305</v>
      </c>
      <c r="BR101" s="812">
        <v>14098.96</v>
      </c>
      <c r="BS101" s="812">
        <v>90</v>
      </c>
      <c r="BT101" s="812">
        <v>52.97</v>
      </c>
    </row>
    <row r="102" spans="1:72" s="802" customFormat="1" ht="18.2" customHeight="1" x14ac:dyDescent="0.15">
      <c r="A102" s="814">
        <v>100</v>
      </c>
      <c r="B102" s="815" t="s">
        <v>413</v>
      </c>
      <c r="C102" s="815" t="s">
        <v>25</v>
      </c>
      <c r="D102" s="816">
        <v>45505</v>
      </c>
      <c r="E102" s="817" t="s">
        <v>580</v>
      </c>
      <c r="F102" s="818">
        <v>31</v>
      </c>
      <c r="G102" s="818">
        <v>30</v>
      </c>
      <c r="H102" s="819">
        <v>36960.660000000003</v>
      </c>
      <c r="I102" s="819">
        <v>6621.47</v>
      </c>
      <c r="J102" s="819">
        <v>0</v>
      </c>
      <c r="K102" s="819">
        <v>43582.13</v>
      </c>
      <c r="L102" s="819">
        <v>256.73</v>
      </c>
      <c r="M102" s="819">
        <v>0</v>
      </c>
      <c r="N102" s="819">
        <v>0</v>
      </c>
      <c r="O102" s="819">
        <v>0</v>
      </c>
      <c r="P102" s="819">
        <v>0</v>
      </c>
      <c r="Q102" s="819">
        <v>0</v>
      </c>
      <c r="R102" s="819">
        <v>0</v>
      </c>
      <c r="S102" s="819">
        <v>43582.13</v>
      </c>
      <c r="T102" s="819">
        <v>9789.17</v>
      </c>
      <c r="U102" s="819">
        <v>307.99</v>
      </c>
      <c r="V102" s="819">
        <v>0</v>
      </c>
      <c r="W102" s="819">
        <v>0</v>
      </c>
      <c r="X102" s="819">
        <v>0</v>
      </c>
      <c r="Y102" s="819">
        <v>0</v>
      </c>
      <c r="Z102" s="819">
        <v>0</v>
      </c>
      <c r="AA102" s="819">
        <v>10097.16</v>
      </c>
      <c r="AB102" s="819">
        <v>0</v>
      </c>
      <c r="AC102" s="819">
        <v>0</v>
      </c>
      <c r="AD102" s="819">
        <v>0</v>
      </c>
      <c r="AE102" s="819">
        <v>0</v>
      </c>
      <c r="AF102" s="819">
        <v>0</v>
      </c>
      <c r="AG102" s="819">
        <v>0</v>
      </c>
      <c r="AH102" s="819">
        <v>0</v>
      </c>
      <c r="AI102" s="819">
        <v>0</v>
      </c>
      <c r="AJ102" s="819">
        <v>0</v>
      </c>
      <c r="AK102" s="819">
        <v>0</v>
      </c>
      <c r="AL102" s="819">
        <v>0</v>
      </c>
      <c r="AM102" s="819">
        <v>0</v>
      </c>
      <c r="AN102" s="819">
        <v>0</v>
      </c>
      <c r="AO102" s="819">
        <v>0</v>
      </c>
      <c r="AP102" s="819">
        <v>0</v>
      </c>
      <c r="AQ102" s="819">
        <v>0</v>
      </c>
      <c r="AR102" s="819">
        <v>0</v>
      </c>
      <c r="AS102" s="819">
        <v>0</v>
      </c>
      <c r="AT102" s="819">
        <v>0</v>
      </c>
      <c r="AU102" s="819">
        <f t="shared" si="1"/>
        <v>0</v>
      </c>
      <c r="AV102" s="819">
        <v>6878.2</v>
      </c>
      <c r="AW102" s="819">
        <v>10097.16</v>
      </c>
      <c r="AX102" s="820">
        <v>93</v>
      </c>
      <c r="AY102" s="820">
        <v>360</v>
      </c>
      <c r="AZ102" s="819">
        <v>223270.26</v>
      </c>
      <c r="BA102" s="819">
        <v>64350</v>
      </c>
      <c r="BB102" s="821">
        <v>90</v>
      </c>
      <c r="BC102" s="821">
        <v>60.954027972028001</v>
      </c>
      <c r="BD102" s="821">
        <v>10</v>
      </c>
      <c r="BE102" s="821"/>
      <c r="BF102" s="817" t="s">
        <v>815</v>
      </c>
      <c r="BG102" s="814"/>
      <c r="BH102" s="817" t="s">
        <v>540</v>
      </c>
      <c r="BI102" s="817" t="s">
        <v>909</v>
      </c>
      <c r="BJ102" s="817" t="s">
        <v>910</v>
      </c>
      <c r="BK102" s="817" t="s">
        <v>338</v>
      </c>
      <c r="BL102" s="815" t="s">
        <v>2</v>
      </c>
      <c r="BM102" s="821">
        <v>357737.11529271997</v>
      </c>
      <c r="BN102" s="815" t="s">
        <v>740</v>
      </c>
      <c r="BO102" s="821"/>
      <c r="BP102" s="822">
        <v>37421</v>
      </c>
      <c r="BQ102" s="822">
        <v>48366</v>
      </c>
      <c r="BR102" s="821">
        <v>8082.42</v>
      </c>
      <c r="BS102" s="821">
        <v>90</v>
      </c>
      <c r="BT102" s="821">
        <v>52.69</v>
      </c>
    </row>
    <row r="103" spans="1:72" s="802" customFormat="1" ht="18.2" customHeight="1" x14ac:dyDescent="0.15">
      <c r="A103" s="805">
        <v>101</v>
      </c>
      <c r="B103" s="806" t="s">
        <v>413</v>
      </c>
      <c r="C103" s="806" t="s">
        <v>25</v>
      </c>
      <c r="D103" s="807">
        <v>45505</v>
      </c>
      <c r="E103" s="808" t="s">
        <v>581</v>
      </c>
      <c r="F103" s="809">
        <v>8</v>
      </c>
      <c r="G103" s="809">
        <v>8</v>
      </c>
      <c r="H103" s="810">
        <v>36960.660000000003</v>
      </c>
      <c r="I103" s="810">
        <v>1908</v>
      </c>
      <c r="J103" s="810">
        <v>0</v>
      </c>
      <c r="K103" s="810">
        <v>38868.660000000003</v>
      </c>
      <c r="L103" s="810">
        <v>256.73</v>
      </c>
      <c r="M103" s="810">
        <v>0</v>
      </c>
      <c r="N103" s="810">
        <v>0</v>
      </c>
      <c r="O103" s="810">
        <v>0</v>
      </c>
      <c r="P103" s="810">
        <v>173.11</v>
      </c>
      <c r="Q103" s="810">
        <v>0</v>
      </c>
      <c r="R103" s="810">
        <v>0</v>
      </c>
      <c r="S103" s="810">
        <v>38697.440000000002</v>
      </c>
      <c r="T103" s="810">
        <v>2216.2600000000002</v>
      </c>
      <c r="U103" s="810">
        <v>307.99</v>
      </c>
      <c r="V103" s="810">
        <v>0</v>
      </c>
      <c r="W103" s="810">
        <v>188.61</v>
      </c>
      <c r="X103" s="810">
        <v>0</v>
      </c>
      <c r="Y103" s="810">
        <v>0</v>
      </c>
      <c r="Z103" s="810">
        <v>0</v>
      </c>
      <c r="AA103" s="810">
        <v>2335.64</v>
      </c>
      <c r="AB103" s="810">
        <v>0</v>
      </c>
      <c r="AC103" s="810">
        <v>0</v>
      </c>
      <c r="AD103" s="810">
        <v>0</v>
      </c>
      <c r="AE103" s="810">
        <v>0</v>
      </c>
      <c r="AF103" s="810">
        <v>0</v>
      </c>
      <c r="AG103" s="810">
        <v>0</v>
      </c>
      <c r="AH103" s="810">
        <v>0</v>
      </c>
      <c r="AI103" s="810">
        <v>0</v>
      </c>
      <c r="AJ103" s="810">
        <v>90</v>
      </c>
      <c r="AK103" s="810">
        <v>0</v>
      </c>
      <c r="AL103" s="810">
        <v>25</v>
      </c>
      <c r="AM103" s="810">
        <v>28.93</v>
      </c>
      <c r="AN103" s="810">
        <v>0</v>
      </c>
      <c r="AO103" s="810">
        <v>79.72</v>
      </c>
      <c r="AP103" s="810">
        <v>45.43</v>
      </c>
      <c r="AQ103" s="810">
        <v>0</v>
      </c>
      <c r="AR103" s="810">
        <v>0</v>
      </c>
      <c r="AS103" s="810">
        <v>3.6549999999999998E-3</v>
      </c>
      <c r="AT103" s="810">
        <v>0</v>
      </c>
      <c r="AU103" s="810">
        <f t="shared" si="1"/>
        <v>630.79634499999997</v>
      </c>
      <c r="AV103" s="810">
        <v>1995.41</v>
      </c>
      <c r="AW103" s="810">
        <v>2335.64</v>
      </c>
      <c r="AX103" s="811">
        <v>93</v>
      </c>
      <c r="AY103" s="811">
        <v>360</v>
      </c>
      <c r="AZ103" s="810">
        <v>223603.59</v>
      </c>
      <c r="BA103" s="810">
        <v>64350</v>
      </c>
      <c r="BB103" s="812">
        <v>90</v>
      </c>
      <c r="BC103" s="812">
        <v>54.122293706293704</v>
      </c>
      <c r="BD103" s="812">
        <v>10</v>
      </c>
      <c r="BE103" s="812"/>
      <c r="BF103" s="808" t="s">
        <v>815</v>
      </c>
      <c r="BG103" s="805"/>
      <c r="BH103" s="808" t="s">
        <v>540</v>
      </c>
      <c r="BI103" s="808" t="s">
        <v>909</v>
      </c>
      <c r="BJ103" s="808" t="s">
        <v>910</v>
      </c>
      <c r="BK103" s="808" t="s">
        <v>338</v>
      </c>
      <c r="BL103" s="806" t="s">
        <v>2</v>
      </c>
      <c r="BM103" s="812">
        <v>317641.89943936002</v>
      </c>
      <c r="BN103" s="806" t="s">
        <v>740</v>
      </c>
      <c r="BO103" s="812"/>
      <c r="BP103" s="813">
        <v>37435</v>
      </c>
      <c r="BQ103" s="813">
        <v>48366</v>
      </c>
      <c r="BR103" s="812">
        <v>1875.94</v>
      </c>
      <c r="BS103" s="812">
        <v>90</v>
      </c>
      <c r="BT103" s="812">
        <v>52.66</v>
      </c>
    </row>
    <row r="104" spans="1:72" s="802" customFormat="1" ht="18.2" customHeight="1" x14ac:dyDescent="0.15">
      <c r="A104" s="814">
        <v>102</v>
      </c>
      <c r="B104" s="815" t="s">
        <v>413</v>
      </c>
      <c r="C104" s="815" t="s">
        <v>25</v>
      </c>
      <c r="D104" s="816">
        <v>45505</v>
      </c>
      <c r="E104" s="817" t="s">
        <v>915</v>
      </c>
      <c r="F104" s="818">
        <v>0</v>
      </c>
      <c r="G104" s="818">
        <v>0</v>
      </c>
      <c r="H104" s="819">
        <v>36320.74</v>
      </c>
      <c r="I104" s="819">
        <v>0</v>
      </c>
      <c r="J104" s="819">
        <v>0</v>
      </c>
      <c r="K104" s="819">
        <v>36320.74</v>
      </c>
      <c r="L104" s="819">
        <v>262.05</v>
      </c>
      <c r="M104" s="819">
        <v>0</v>
      </c>
      <c r="N104" s="819">
        <v>0</v>
      </c>
      <c r="O104" s="819">
        <v>0</v>
      </c>
      <c r="P104" s="819">
        <v>262.05</v>
      </c>
      <c r="Q104" s="819">
        <v>0</v>
      </c>
      <c r="R104" s="819">
        <v>0</v>
      </c>
      <c r="S104" s="819">
        <v>36058.69</v>
      </c>
      <c r="T104" s="819">
        <v>0</v>
      </c>
      <c r="U104" s="819">
        <v>302.67</v>
      </c>
      <c r="V104" s="819">
        <v>0</v>
      </c>
      <c r="W104" s="819">
        <v>0</v>
      </c>
      <c r="X104" s="819">
        <v>302.67</v>
      </c>
      <c r="Y104" s="819">
        <v>0</v>
      </c>
      <c r="Z104" s="819">
        <v>0</v>
      </c>
      <c r="AA104" s="819">
        <v>0</v>
      </c>
      <c r="AB104" s="819">
        <v>90</v>
      </c>
      <c r="AC104" s="819">
        <v>0</v>
      </c>
      <c r="AD104" s="819">
        <v>25</v>
      </c>
      <c r="AE104" s="819">
        <v>0</v>
      </c>
      <c r="AF104" s="819">
        <v>0</v>
      </c>
      <c r="AG104" s="819">
        <v>0</v>
      </c>
      <c r="AH104" s="819">
        <v>79.72</v>
      </c>
      <c r="AI104" s="819">
        <v>45.28</v>
      </c>
      <c r="AJ104" s="819">
        <v>0</v>
      </c>
      <c r="AK104" s="819">
        <v>0</v>
      </c>
      <c r="AL104" s="819">
        <v>0</v>
      </c>
      <c r="AM104" s="819">
        <v>0</v>
      </c>
      <c r="AN104" s="819">
        <v>0</v>
      </c>
      <c r="AO104" s="819">
        <v>0</v>
      </c>
      <c r="AP104" s="819">
        <v>0</v>
      </c>
      <c r="AQ104" s="819">
        <v>8.5000000000000006E-2</v>
      </c>
      <c r="AR104" s="819">
        <v>0</v>
      </c>
      <c r="AS104" s="819">
        <v>0</v>
      </c>
      <c r="AT104" s="819">
        <v>0</v>
      </c>
      <c r="AU104" s="819">
        <f t="shared" si="1"/>
        <v>804.80500000000006</v>
      </c>
      <c r="AV104" s="819">
        <v>0</v>
      </c>
      <c r="AW104" s="819">
        <v>0</v>
      </c>
      <c r="AX104" s="820">
        <v>91</v>
      </c>
      <c r="AY104" s="820">
        <v>360</v>
      </c>
      <c r="AZ104" s="819">
        <v>220977.76</v>
      </c>
      <c r="BA104" s="819">
        <v>64350</v>
      </c>
      <c r="BB104" s="821">
        <v>90</v>
      </c>
      <c r="BC104" s="821">
        <v>50.431734265734299</v>
      </c>
      <c r="BD104" s="821">
        <v>10</v>
      </c>
      <c r="BE104" s="821"/>
      <c r="BF104" s="817" t="s">
        <v>815</v>
      </c>
      <c r="BG104" s="814"/>
      <c r="BH104" s="817" t="s">
        <v>540</v>
      </c>
      <c r="BI104" s="817" t="s">
        <v>909</v>
      </c>
      <c r="BJ104" s="817" t="s">
        <v>910</v>
      </c>
      <c r="BK104" s="817" t="s">
        <v>309</v>
      </c>
      <c r="BL104" s="815" t="s">
        <v>2</v>
      </c>
      <c r="BM104" s="821">
        <v>295982.13170935999</v>
      </c>
      <c r="BN104" s="815" t="s">
        <v>740</v>
      </c>
      <c r="BO104" s="821"/>
      <c r="BP104" s="822">
        <v>37351</v>
      </c>
      <c r="BQ104" s="822">
        <v>48305</v>
      </c>
      <c r="BR104" s="821">
        <v>0</v>
      </c>
      <c r="BS104" s="821">
        <v>90</v>
      </c>
      <c r="BT104" s="821">
        <v>25</v>
      </c>
    </row>
    <row r="105" spans="1:72" s="802" customFormat="1" ht="18.2" customHeight="1" x14ac:dyDescent="0.15">
      <c r="A105" s="805">
        <v>103</v>
      </c>
      <c r="B105" s="806" t="s">
        <v>413</v>
      </c>
      <c r="C105" s="806" t="s">
        <v>25</v>
      </c>
      <c r="D105" s="807">
        <v>45505</v>
      </c>
      <c r="E105" s="808" t="s">
        <v>916</v>
      </c>
      <c r="F105" s="809">
        <v>0</v>
      </c>
      <c r="G105" s="809">
        <v>0</v>
      </c>
      <c r="H105" s="810">
        <v>52301.599999999999</v>
      </c>
      <c r="I105" s="810">
        <v>0</v>
      </c>
      <c r="J105" s="810">
        <v>0</v>
      </c>
      <c r="K105" s="810">
        <v>52301.599999999999</v>
      </c>
      <c r="L105" s="810">
        <v>394.73</v>
      </c>
      <c r="M105" s="810">
        <v>0</v>
      </c>
      <c r="N105" s="810">
        <v>0</v>
      </c>
      <c r="O105" s="810">
        <v>0</v>
      </c>
      <c r="P105" s="810">
        <v>394.73</v>
      </c>
      <c r="Q105" s="810">
        <v>0</v>
      </c>
      <c r="R105" s="810">
        <v>0</v>
      </c>
      <c r="S105" s="810">
        <v>51906.87</v>
      </c>
      <c r="T105" s="810">
        <v>0</v>
      </c>
      <c r="U105" s="810">
        <v>444.56</v>
      </c>
      <c r="V105" s="810">
        <v>0</v>
      </c>
      <c r="W105" s="810">
        <v>0</v>
      </c>
      <c r="X105" s="810">
        <v>444.56</v>
      </c>
      <c r="Y105" s="810">
        <v>0</v>
      </c>
      <c r="Z105" s="810">
        <v>0</v>
      </c>
      <c r="AA105" s="810">
        <v>0</v>
      </c>
      <c r="AB105" s="810">
        <v>100</v>
      </c>
      <c r="AC105" s="810">
        <v>0</v>
      </c>
      <c r="AD105" s="810">
        <v>0</v>
      </c>
      <c r="AE105" s="810">
        <v>0</v>
      </c>
      <c r="AF105" s="810">
        <v>0</v>
      </c>
      <c r="AG105" s="810">
        <v>0</v>
      </c>
      <c r="AH105" s="810">
        <v>111.9</v>
      </c>
      <c r="AI105" s="810">
        <v>78.31</v>
      </c>
      <c r="AJ105" s="810">
        <v>0</v>
      </c>
      <c r="AK105" s="810">
        <v>0</v>
      </c>
      <c r="AL105" s="810">
        <v>0</v>
      </c>
      <c r="AM105" s="810">
        <v>0</v>
      </c>
      <c r="AN105" s="810">
        <v>0</v>
      </c>
      <c r="AO105" s="810">
        <v>0</v>
      </c>
      <c r="AP105" s="810">
        <v>0</v>
      </c>
      <c r="AQ105" s="810">
        <v>0.219</v>
      </c>
      <c r="AR105" s="810">
        <v>0</v>
      </c>
      <c r="AS105" s="810">
        <v>0</v>
      </c>
      <c r="AT105" s="810">
        <v>0</v>
      </c>
      <c r="AU105" s="810">
        <f t="shared" si="1"/>
        <v>1129.7190000000001</v>
      </c>
      <c r="AV105" s="810">
        <v>0</v>
      </c>
      <c r="AW105" s="810">
        <v>0</v>
      </c>
      <c r="AX105" s="811">
        <v>91</v>
      </c>
      <c r="AY105" s="811">
        <v>360</v>
      </c>
      <c r="AZ105" s="810">
        <v>323922.73</v>
      </c>
      <c r="BA105" s="810">
        <v>94050</v>
      </c>
      <c r="BB105" s="812">
        <v>90</v>
      </c>
      <c r="BC105" s="812">
        <v>49.671645933014403</v>
      </c>
      <c r="BD105" s="812">
        <v>10.199999999999999</v>
      </c>
      <c r="BE105" s="812"/>
      <c r="BF105" s="808" t="s">
        <v>815</v>
      </c>
      <c r="BG105" s="805"/>
      <c r="BH105" s="808" t="s">
        <v>834</v>
      </c>
      <c r="BI105" s="808" t="s">
        <v>851</v>
      </c>
      <c r="BJ105" s="808"/>
      <c r="BK105" s="808" t="s">
        <v>309</v>
      </c>
      <c r="BL105" s="806" t="s">
        <v>2</v>
      </c>
      <c r="BM105" s="812">
        <v>426069.44492327998</v>
      </c>
      <c r="BN105" s="806" t="s">
        <v>740</v>
      </c>
      <c r="BO105" s="812"/>
      <c r="BP105" s="813">
        <v>37363</v>
      </c>
      <c r="BQ105" s="813">
        <v>48305</v>
      </c>
      <c r="BR105" s="812">
        <v>0</v>
      </c>
      <c r="BS105" s="812">
        <v>100</v>
      </c>
      <c r="BT105" s="812">
        <v>0</v>
      </c>
    </row>
    <row r="106" spans="1:72" s="802" customFormat="1" ht="18.2" customHeight="1" x14ac:dyDescent="0.15">
      <c r="A106" s="814">
        <v>104</v>
      </c>
      <c r="B106" s="815" t="s">
        <v>413</v>
      </c>
      <c r="C106" s="815" t="s">
        <v>25</v>
      </c>
      <c r="D106" s="816">
        <v>45505</v>
      </c>
      <c r="E106" s="817" t="s">
        <v>582</v>
      </c>
      <c r="F106" s="818">
        <v>148</v>
      </c>
      <c r="G106" s="818">
        <v>147</v>
      </c>
      <c r="H106" s="819">
        <v>53801.86</v>
      </c>
      <c r="I106" s="819">
        <v>31984.71</v>
      </c>
      <c r="J106" s="819">
        <v>0</v>
      </c>
      <c r="K106" s="819">
        <v>85786.57</v>
      </c>
      <c r="L106" s="819">
        <v>382</v>
      </c>
      <c r="M106" s="819">
        <v>0</v>
      </c>
      <c r="N106" s="819">
        <v>0</v>
      </c>
      <c r="O106" s="819">
        <v>0</v>
      </c>
      <c r="P106" s="819">
        <v>0</v>
      </c>
      <c r="Q106" s="819">
        <v>0</v>
      </c>
      <c r="R106" s="819">
        <v>0</v>
      </c>
      <c r="S106" s="819">
        <v>85786.57</v>
      </c>
      <c r="T106" s="819">
        <v>90732.38</v>
      </c>
      <c r="U106" s="819">
        <v>457.29</v>
      </c>
      <c r="V106" s="819">
        <v>0</v>
      </c>
      <c r="W106" s="819">
        <v>0</v>
      </c>
      <c r="X106" s="819">
        <v>0</v>
      </c>
      <c r="Y106" s="819">
        <v>0</v>
      </c>
      <c r="Z106" s="819">
        <v>0</v>
      </c>
      <c r="AA106" s="819">
        <v>91189.67</v>
      </c>
      <c r="AB106" s="819">
        <v>0</v>
      </c>
      <c r="AC106" s="819">
        <v>0</v>
      </c>
      <c r="AD106" s="819">
        <v>0</v>
      </c>
      <c r="AE106" s="819">
        <v>0</v>
      </c>
      <c r="AF106" s="819">
        <v>0</v>
      </c>
      <c r="AG106" s="819">
        <v>0</v>
      </c>
      <c r="AH106" s="819">
        <v>0</v>
      </c>
      <c r="AI106" s="819">
        <v>0</v>
      </c>
      <c r="AJ106" s="819">
        <v>0</v>
      </c>
      <c r="AK106" s="819">
        <v>0</v>
      </c>
      <c r="AL106" s="819">
        <v>0</v>
      </c>
      <c r="AM106" s="819">
        <v>0</v>
      </c>
      <c r="AN106" s="819">
        <v>0</v>
      </c>
      <c r="AO106" s="819">
        <v>0</v>
      </c>
      <c r="AP106" s="819">
        <v>0</v>
      </c>
      <c r="AQ106" s="819">
        <v>0</v>
      </c>
      <c r="AR106" s="819">
        <v>0</v>
      </c>
      <c r="AS106" s="819">
        <v>0</v>
      </c>
      <c r="AT106" s="819">
        <v>0</v>
      </c>
      <c r="AU106" s="819">
        <f t="shared" si="1"/>
        <v>0</v>
      </c>
      <c r="AV106" s="819">
        <v>32366.71</v>
      </c>
      <c r="AW106" s="819">
        <v>91189.67</v>
      </c>
      <c r="AX106" s="820">
        <v>91</v>
      </c>
      <c r="AY106" s="820">
        <v>360</v>
      </c>
      <c r="AZ106" s="819">
        <v>324397.36</v>
      </c>
      <c r="BA106" s="819">
        <v>94050</v>
      </c>
      <c r="BB106" s="821">
        <v>90</v>
      </c>
      <c r="BC106" s="821">
        <v>82.092411483253599</v>
      </c>
      <c r="BD106" s="821">
        <v>10.199999999999999</v>
      </c>
      <c r="BE106" s="821"/>
      <c r="BF106" s="817" t="s">
        <v>815</v>
      </c>
      <c r="BG106" s="814"/>
      <c r="BH106" s="817" t="s">
        <v>834</v>
      </c>
      <c r="BI106" s="817" t="s">
        <v>851</v>
      </c>
      <c r="BJ106" s="817"/>
      <c r="BK106" s="817" t="s">
        <v>338</v>
      </c>
      <c r="BL106" s="815" t="s">
        <v>2</v>
      </c>
      <c r="BM106" s="821">
        <v>704165.67714008002</v>
      </c>
      <c r="BN106" s="815" t="s">
        <v>740</v>
      </c>
      <c r="BO106" s="821"/>
      <c r="BP106" s="822">
        <v>37368</v>
      </c>
      <c r="BQ106" s="822">
        <v>48305</v>
      </c>
      <c r="BR106" s="821">
        <v>48497.14</v>
      </c>
      <c r="BS106" s="821">
        <v>100</v>
      </c>
      <c r="BT106" s="821">
        <v>28.75</v>
      </c>
    </row>
    <row r="107" spans="1:72" s="802" customFormat="1" ht="18.2" customHeight="1" x14ac:dyDescent="0.15">
      <c r="A107" s="805">
        <v>105</v>
      </c>
      <c r="B107" s="806" t="s">
        <v>413</v>
      </c>
      <c r="C107" s="806" t="s">
        <v>25</v>
      </c>
      <c r="D107" s="807">
        <v>45505</v>
      </c>
      <c r="E107" s="808" t="s">
        <v>917</v>
      </c>
      <c r="F107" s="809">
        <v>0</v>
      </c>
      <c r="G107" s="809">
        <v>0</v>
      </c>
      <c r="H107" s="810">
        <v>36344.080000000002</v>
      </c>
      <c r="I107" s="810">
        <v>0</v>
      </c>
      <c r="J107" s="810">
        <v>0</v>
      </c>
      <c r="K107" s="810">
        <v>36344.080000000002</v>
      </c>
      <c r="L107" s="810">
        <v>261.85000000000002</v>
      </c>
      <c r="M107" s="810">
        <v>0</v>
      </c>
      <c r="N107" s="810">
        <v>0</v>
      </c>
      <c r="O107" s="810">
        <v>0</v>
      </c>
      <c r="P107" s="810">
        <v>261.85000000000002</v>
      </c>
      <c r="Q107" s="810">
        <v>0</v>
      </c>
      <c r="R107" s="810">
        <v>0</v>
      </c>
      <c r="S107" s="810">
        <v>36082.230000000003</v>
      </c>
      <c r="T107" s="810">
        <v>0</v>
      </c>
      <c r="U107" s="810">
        <v>302.87</v>
      </c>
      <c r="V107" s="810">
        <v>0</v>
      </c>
      <c r="W107" s="810">
        <v>0</v>
      </c>
      <c r="X107" s="810">
        <v>302.87</v>
      </c>
      <c r="Y107" s="810">
        <v>0</v>
      </c>
      <c r="Z107" s="810">
        <v>0</v>
      </c>
      <c r="AA107" s="810">
        <v>0</v>
      </c>
      <c r="AB107" s="810">
        <v>90</v>
      </c>
      <c r="AC107" s="810">
        <v>0</v>
      </c>
      <c r="AD107" s="810">
        <v>25</v>
      </c>
      <c r="AE107" s="810">
        <v>0</v>
      </c>
      <c r="AF107" s="810">
        <v>0</v>
      </c>
      <c r="AG107" s="810">
        <v>0</v>
      </c>
      <c r="AH107" s="810">
        <v>79.72</v>
      </c>
      <c r="AI107" s="810">
        <v>45.11</v>
      </c>
      <c r="AJ107" s="810">
        <v>0</v>
      </c>
      <c r="AK107" s="810">
        <v>0</v>
      </c>
      <c r="AL107" s="810">
        <v>0</v>
      </c>
      <c r="AM107" s="810">
        <v>0</v>
      </c>
      <c r="AN107" s="810">
        <v>0</v>
      </c>
      <c r="AO107" s="810">
        <v>0</v>
      </c>
      <c r="AP107" s="810">
        <v>0</v>
      </c>
      <c r="AQ107" s="810">
        <v>0</v>
      </c>
      <c r="AR107" s="810">
        <v>0</v>
      </c>
      <c r="AS107" s="810">
        <v>2.4365000000000001E-2</v>
      </c>
      <c r="AT107" s="810">
        <v>0</v>
      </c>
      <c r="AU107" s="810">
        <f t="shared" si="1"/>
        <v>804.52563500000008</v>
      </c>
      <c r="AV107" s="810">
        <v>0</v>
      </c>
      <c r="AW107" s="810">
        <v>0</v>
      </c>
      <c r="AX107" s="811">
        <v>92</v>
      </c>
      <c r="AY107" s="811">
        <v>360</v>
      </c>
      <c r="AZ107" s="810">
        <v>223085.51</v>
      </c>
      <c r="BA107" s="810">
        <v>64350</v>
      </c>
      <c r="BB107" s="812">
        <v>90</v>
      </c>
      <c r="BC107" s="812">
        <v>50.464657342657297</v>
      </c>
      <c r="BD107" s="812">
        <v>10</v>
      </c>
      <c r="BE107" s="812"/>
      <c r="BF107" s="808" t="s">
        <v>815</v>
      </c>
      <c r="BG107" s="805"/>
      <c r="BH107" s="808" t="s">
        <v>540</v>
      </c>
      <c r="BI107" s="808" t="s">
        <v>909</v>
      </c>
      <c r="BJ107" s="808" t="s">
        <v>910</v>
      </c>
      <c r="BK107" s="808" t="s">
        <v>309</v>
      </c>
      <c r="BL107" s="806" t="s">
        <v>2</v>
      </c>
      <c r="BM107" s="812">
        <v>296175.35612711997</v>
      </c>
      <c r="BN107" s="806" t="s">
        <v>740</v>
      </c>
      <c r="BO107" s="812"/>
      <c r="BP107" s="813">
        <v>37385</v>
      </c>
      <c r="BQ107" s="813">
        <v>48334</v>
      </c>
      <c r="BR107" s="812">
        <v>0</v>
      </c>
      <c r="BS107" s="812">
        <v>90</v>
      </c>
      <c r="BT107" s="812">
        <v>25</v>
      </c>
    </row>
    <row r="108" spans="1:72" s="802" customFormat="1" ht="18.2" customHeight="1" x14ac:dyDescent="0.15">
      <c r="A108" s="814">
        <v>106</v>
      </c>
      <c r="B108" s="815" t="s">
        <v>413</v>
      </c>
      <c r="C108" s="815" t="s">
        <v>25</v>
      </c>
      <c r="D108" s="816">
        <v>45505</v>
      </c>
      <c r="E108" s="817" t="s">
        <v>583</v>
      </c>
      <c r="F108" s="818">
        <v>54</v>
      </c>
      <c r="G108" s="818">
        <v>53</v>
      </c>
      <c r="H108" s="819">
        <v>36668.22</v>
      </c>
      <c r="I108" s="819">
        <v>11063.4</v>
      </c>
      <c r="J108" s="819">
        <v>0</v>
      </c>
      <c r="K108" s="819">
        <v>47731.62</v>
      </c>
      <c r="L108" s="819">
        <v>259.17</v>
      </c>
      <c r="M108" s="819">
        <v>0</v>
      </c>
      <c r="N108" s="819">
        <v>0</v>
      </c>
      <c r="O108" s="819">
        <v>0</v>
      </c>
      <c r="P108" s="819">
        <v>0</v>
      </c>
      <c r="Q108" s="819">
        <v>0</v>
      </c>
      <c r="R108" s="819">
        <v>0</v>
      </c>
      <c r="S108" s="819">
        <v>47731.62</v>
      </c>
      <c r="T108" s="819">
        <v>18864.849999999999</v>
      </c>
      <c r="U108" s="819">
        <v>305.55</v>
      </c>
      <c r="V108" s="819">
        <v>0</v>
      </c>
      <c r="W108" s="819">
        <v>0</v>
      </c>
      <c r="X108" s="819">
        <v>0</v>
      </c>
      <c r="Y108" s="819">
        <v>0</v>
      </c>
      <c r="Z108" s="819">
        <v>0</v>
      </c>
      <c r="AA108" s="819">
        <v>19170.400000000001</v>
      </c>
      <c r="AB108" s="819">
        <v>0</v>
      </c>
      <c r="AC108" s="819">
        <v>0</v>
      </c>
      <c r="AD108" s="819">
        <v>0</v>
      </c>
      <c r="AE108" s="819">
        <v>0</v>
      </c>
      <c r="AF108" s="819">
        <v>0</v>
      </c>
      <c r="AG108" s="819">
        <v>0</v>
      </c>
      <c r="AH108" s="819">
        <v>0</v>
      </c>
      <c r="AI108" s="819">
        <v>0</v>
      </c>
      <c r="AJ108" s="819">
        <v>0</v>
      </c>
      <c r="AK108" s="819">
        <v>0</v>
      </c>
      <c r="AL108" s="819">
        <v>0</v>
      </c>
      <c r="AM108" s="819">
        <v>0</v>
      </c>
      <c r="AN108" s="819">
        <v>0</v>
      </c>
      <c r="AO108" s="819">
        <v>0</v>
      </c>
      <c r="AP108" s="819">
        <v>0</v>
      </c>
      <c r="AQ108" s="819">
        <v>0</v>
      </c>
      <c r="AR108" s="819">
        <v>0</v>
      </c>
      <c r="AS108" s="819">
        <v>0</v>
      </c>
      <c r="AT108" s="819">
        <v>0</v>
      </c>
      <c r="AU108" s="819">
        <f t="shared" si="1"/>
        <v>0</v>
      </c>
      <c r="AV108" s="819">
        <v>11322.57</v>
      </c>
      <c r="AW108" s="819">
        <v>19170.400000000001</v>
      </c>
      <c r="AX108" s="820">
        <v>92</v>
      </c>
      <c r="AY108" s="820">
        <v>360</v>
      </c>
      <c r="AZ108" s="819">
        <v>223085.51</v>
      </c>
      <c r="BA108" s="819">
        <v>64350</v>
      </c>
      <c r="BB108" s="821">
        <v>90</v>
      </c>
      <c r="BC108" s="821">
        <v>66.757510489510494</v>
      </c>
      <c r="BD108" s="821">
        <v>10</v>
      </c>
      <c r="BE108" s="821"/>
      <c r="BF108" s="817" t="s">
        <v>815</v>
      </c>
      <c r="BG108" s="814"/>
      <c r="BH108" s="817" t="s">
        <v>540</v>
      </c>
      <c r="BI108" s="817" t="s">
        <v>909</v>
      </c>
      <c r="BJ108" s="817" t="s">
        <v>910</v>
      </c>
      <c r="BK108" s="817" t="s">
        <v>338</v>
      </c>
      <c r="BL108" s="815" t="s">
        <v>2</v>
      </c>
      <c r="BM108" s="821">
        <v>391797.55663727998</v>
      </c>
      <c r="BN108" s="815" t="s">
        <v>740</v>
      </c>
      <c r="BO108" s="821"/>
      <c r="BP108" s="822">
        <v>37385</v>
      </c>
      <c r="BQ108" s="822">
        <v>48334</v>
      </c>
      <c r="BR108" s="821">
        <v>14622.86</v>
      </c>
      <c r="BS108" s="821">
        <v>90</v>
      </c>
      <c r="BT108" s="821">
        <v>52.7</v>
      </c>
    </row>
    <row r="109" spans="1:72" s="802" customFormat="1" ht="18.2" customHeight="1" x14ac:dyDescent="0.15">
      <c r="A109" s="805">
        <v>107</v>
      </c>
      <c r="B109" s="806" t="s">
        <v>413</v>
      </c>
      <c r="C109" s="806" t="s">
        <v>25</v>
      </c>
      <c r="D109" s="807">
        <v>45505</v>
      </c>
      <c r="E109" s="808" t="s">
        <v>584</v>
      </c>
      <c r="F109" s="809">
        <v>173</v>
      </c>
      <c r="G109" s="809">
        <v>172</v>
      </c>
      <c r="H109" s="810">
        <v>35369.94</v>
      </c>
      <c r="I109" s="810">
        <v>22739.56</v>
      </c>
      <c r="J109" s="810">
        <v>0</v>
      </c>
      <c r="K109" s="810">
        <v>58109.5</v>
      </c>
      <c r="L109" s="810">
        <v>249.36</v>
      </c>
      <c r="M109" s="810">
        <v>0</v>
      </c>
      <c r="N109" s="810">
        <v>0</v>
      </c>
      <c r="O109" s="810">
        <v>0</v>
      </c>
      <c r="P109" s="810">
        <v>0</v>
      </c>
      <c r="Q109" s="810">
        <v>0</v>
      </c>
      <c r="R109" s="810">
        <v>0</v>
      </c>
      <c r="S109" s="810">
        <v>58109.5</v>
      </c>
      <c r="T109" s="810">
        <v>70421.31</v>
      </c>
      <c r="U109" s="810">
        <v>294.73</v>
      </c>
      <c r="V109" s="810">
        <v>0</v>
      </c>
      <c r="W109" s="810">
        <v>0</v>
      </c>
      <c r="X109" s="810">
        <v>0</v>
      </c>
      <c r="Y109" s="810">
        <v>0</v>
      </c>
      <c r="Z109" s="810">
        <v>0</v>
      </c>
      <c r="AA109" s="810">
        <v>70716.039999999994</v>
      </c>
      <c r="AB109" s="810">
        <v>0</v>
      </c>
      <c r="AC109" s="810">
        <v>0</v>
      </c>
      <c r="AD109" s="810">
        <v>0</v>
      </c>
      <c r="AE109" s="810">
        <v>0</v>
      </c>
      <c r="AF109" s="810">
        <v>0</v>
      </c>
      <c r="AG109" s="810">
        <v>0</v>
      </c>
      <c r="AH109" s="810">
        <v>0</v>
      </c>
      <c r="AI109" s="810">
        <v>0</v>
      </c>
      <c r="AJ109" s="810">
        <v>0</v>
      </c>
      <c r="AK109" s="810">
        <v>0</v>
      </c>
      <c r="AL109" s="810">
        <v>0</v>
      </c>
      <c r="AM109" s="810">
        <v>0</v>
      </c>
      <c r="AN109" s="810">
        <v>0</v>
      </c>
      <c r="AO109" s="810">
        <v>0</v>
      </c>
      <c r="AP109" s="810">
        <v>0</v>
      </c>
      <c r="AQ109" s="810">
        <v>0</v>
      </c>
      <c r="AR109" s="810">
        <v>0</v>
      </c>
      <c r="AS109" s="810">
        <v>0</v>
      </c>
      <c r="AT109" s="810">
        <v>0</v>
      </c>
      <c r="AU109" s="810">
        <f t="shared" si="1"/>
        <v>0</v>
      </c>
      <c r="AV109" s="810">
        <v>22988.92</v>
      </c>
      <c r="AW109" s="810">
        <v>70716.039999999994</v>
      </c>
      <c r="AX109" s="811">
        <v>93</v>
      </c>
      <c r="AY109" s="811">
        <v>360</v>
      </c>
      <c r="AZ109" s="810">
        <v>223085.51</v>
      </c>
      <c r="BA109" s="810">
        <v>62000</v>
      </c>
      <c r="BB109" s="812">
        <v>86.71</v>
      </c>
      <c r="BC109" s="812">
        <v>81.268947499999996</v>
      </c>
      <c r="BD109" s="812">
        <v>10</v>
      </c>
      <c r="BE109" s="812"/>
      <c r="BF109" s="808" t="s">
        <v>815</v>
      </c>
      <c r="BG109" s="805"/>
      <c r="BH109" s="808" t="s">
        <v>540</v>
      </c>
      <c r="BI109" s="808" t="s">
        <v>909</v>
      </c>
      <c r="BJ109" s="808" t="s">
        <v>910</v>
      </c>
      <c r="BK109" s="808" t="s">
        <v>338</v>
      </c>
      <c r="BL109" s="806" t="s">
        <v>2</v>
      </c>
      <c r="BM109" s="812">
        <v>476982.76566799998</v>
      </c>
      <c r="BN109" s="806" t="s">
        <v>740</v>
      </c>
      <c r="BO109" s="812"/>
      <c r="BP109" s="813">
        <v>37385</v>
      </c>
      <c r="BQ109" s="813">
        <v>48334</v>
      </c>
      <c r="BR109" s="812">
        <v>47384.12</v>
      </c>
      <c r="BS109" s="812">
        <v>90</v>
      </c>
      <c r="BT109" s="812">
        <v>52.7</v>
      </c>
    </row>
    <row r="110" spans="1:72" s="802" customFormat="1" ht="18.2" customHeight="1" x14ac:dyDescent="0.15">
      <c r="A110" s="814">
        <v>108</v>
      </c>
      <c r="B110" s="815" t="s">
        <v>413</v>
      </c>
      <c r="C110" s="815" t="s">
        <v>25</v>
      </c>
      <c r="D110" s="816">
        <v>45505</v>
      </c>
      <c r="E110" s="817" t="s">
        <v>918</v>
      </c>
      <c r="F110" s="818">
        <v>0</v>
      </c>
      <c r="G110" s="818">
        <v>0</v>
      </c>
      <c r="H110" s="819">
        <v>36698.32</v>
      </c>
      <c r="I110" s="819">
        <v>0</v>
      </c>
      <c r="J110" s="819">
        <v>0</v>
      </c>
      <c r="K110" s="819">
        <v>36698.32</v>
      </c>
      <c r="L110" s="819">
        <v>258.89999999999998</v>
      </c>
      <c r="M110" s="819">
        <v>0</v>
      </c>
      <c r="N110" s="819">
        <v>0</v>
      </c>
      <c r="O110" s="819">
        <v>0</v>
      </c>
      <c r="P110" s="819">
        <v>258.89999999999998</v>
      </c>
      <c r="Q110" s="819">
        <v>0</v>
      </c>
      <c r="R110" s="819">
        <v>0</v>
      </c>
      <c r="S110" s="819">
        <v>36439.42</v>
      </c>
      <c r="T110" s="819">
        <v>0</v>
      </c>
      <c r="U110" s="819">
        <v>305.82</v>
      </c>
      <c r="V110" s="819">
        <v>0</v>
      </c>
      <c r="W110" s="819">
        <v>0</v>
      </c>
      <c r="X110" s="819">
        <v>305.82</v>
      </c>
      <c r="Y110" s="819">
        <v>0</v>
      </c>
      <c r="Z110" s="819">
        <v>0</v>
      </c>
      <c r="AA110" s="819">
        <v>0</v>
      </c>
      <c r="AB110" s="819">
        <v>90</v>
      </c>
      <c r="AC110" s="819">
        <v>0</v>
      </c>
      <c r="AD110" s="819">
        <v>25</v>
      </c>
      <c r="AE110" s="819">
        <v>0</v>
      </c>
      <c r="AF110" s="819">
        <v>0</v>
      </c>
      <c r="AG110" s="819">
        <v>0</v>
      </c>
      <c r="AH110" s="819">
        <v>79.72</v>
      </c>
      <c r="AI110" s="819">
        <v>45.11</v>
      </c>
      <c r="AJ110" s="819">
        <v>0</v>
      </c>
      <c r="AK110" s="819">
        <v>0</v>
      </c>
      <c r="AL110" s="819">
        <v>0</v>
      </c>
      <c r="AM110" s="819">
        <v>0</v>
      </c>
      <c r="AN110" s="819">
        <v>0</v>
      </c>
      <c r="AO110" s="819">
        <v>0</v>
      </c>
      <c r="AP110" s="819">
        <v>0</v>
      </c>
      <c r="AQ110" s="819">
        <v>9.7000000000000003E-2</v>
      </c>
      <c r="AR110" s="819">
        <v>0</v>
      </c>
      <c r="AS110" s="819">
        <v>0</v>
      </c>
      <c r="AT110" s="819">
        <v>0</v>
      </c>
      <c r="AU110" s="819">
        <f t="shared" si="1"/>
        <v>804.64699999999993</v>
      </c>
      <c r="AV110" s="819">
        <v>0</v>
      </c>
      <c r="AW110" s="819">
        <v>0</v>
      </c>
      <c r="AX110" s="820">
        <v>92</v>
      </c>
      <c r="AY110" s="820">
        <v>360</v>
      </c>
      <c r="AZ110" s="819">
        <v>223085.51</v>
      </c>
      <c r="BA110" s="819">
        <v>64350</v>
      </c>
      <c r="BB110" s="821">
        <v>90</v>
      </c>
      <c r="BC110" s="821">
        <v>50.964223776223797</v>
      </c>
      <c r="BD110" s="821">
        <v>10</v>
      </c>
      <c r="BE110" s="821"/>
      <c r="BF110" s="817" t="s">
        <v>815</v>
      </c>
      <c r="BG110" s="814"/>
      <c r="BH110" s="817" t="s">
        <v>540</v>
      </c>
      <c r="BI110" s="817" t="s">
        <v>909</v>
      </c>
      <c r="BJ110" s="817" t="s">
        <v>910</v>
      </c>
      <c r="BK110" s="817" t="s">
        <v>309</v>
      </c>
      <c r="BL110" s="815" t="s">
        <v>2</v>
      </c>
      <c r="BM110" s="821">
        <v>299107.29452047998</v>
      </c>
      <c r="BN110" s="815" t="s">
        <v>740</v>
      </c>
      <c r="BO110" s="821"/>
      <c r="BP110" s="822">
        <v>37385</v>
      </c>
      <c r="BQ110" s="822">
        <v>48334</v>
      </c>
      <c r="BR110" s="821">
        <v>0</v>
      </c>
      <c r="BS110" s="821">
        <v>90</v>
      </c>
      <c r="BT110" s="821">
        <v>25</v>
      </c>
    </row>
    <row r="111" spans="1:72" s="802" customFormat="1" ht="18.2" customHeight="1" x14ac:dyDescent="0.15">
      <c r="A111" s="805">
        <v>109</v>
      </c>
      <c r="B111" s="806" t="s">
        <v>413</v>
      </c>
      <c r="C111" s="806" t="s">
        <v>25</v>
      </c>
      <c r="D111" s="807">
        <v>45505</v>
      </c>
      <c r="E111" s="808" t="s">
        <v>585</v>
      </c>
      <c r="F111" s="809">
        <v>89</v>
      </c>
      <c r="G111" s="809">
        <v>88</v>
      </c>
      <c r="H111" s="810">
        <v>35369.94</v>
      </c>
      <c r="I111" s="810">
        <v>15503.25</v>
      </c>
      <c r="J111" s="810">
        <v>0</v>
      </c>
      <c r="K111" s="810">
        <v>50873.19</v>
      </c>
      <c r="L111" s="810">
        <v>249.36</v>
      </c>
      <c r="M111" s="810">
        <v>0</v>
      </c>
      <c r="N111" s="810">
        <v>0</v>
      </c>
      <c r="O111" s="810">
        <v>0</v>
      </c>
      <c r="P111" s="810">
        <v>0</v>
      </c>
      <c r="Q111" s="810">
        <v>0</v>
      </c>
      <c r="R111" s="810">
        <v>0</v>
      </c>
      <c r="S111" s="810">
        <v>50873.19</v>
      </c>
      <c r="T111" s="810">
        <v>32374.84</v>
      </c>
      <c r="U111" s="810">
        <v>294.73</v>
      </c>
      <c r="V111" s="810">
        <v>0</v>
      </c>
      <c r="W111" s="810">
        <v>0</v>
      </c>
      <c r="X111" s="810">
        <v>0</v>
      </c>
      <c r="Y111" s="810">
        <v>0</v>
      </c>
      <c r="Z111" s="810">
        <v>0</v>
      </c>
      <c r="AA111" s="810">
        <v>32669.57</v>
      </c>
      <c r="AB111" s="810">
        <v>0</v>
      </c>
      <c r="AC111" s="810">
        <v>0</v>
      </c>
      <c r="AD111" s="810">
        <v>0</v>
      </c>
      <c r="AE111" s="810">
        <v>0</v>
      </c>
      <c r="AF111" s="810">
        <v>0</v>
      </c>
      <c r="AG111" s="810">
        <v>0</v>
      </c>
      <c r="AH111" s="810">
        <v>0</v>
      </c>
      <c r="AI111" s="810">
        <v>0</v>
      </c>
      <c r="AJ111" s="810">
        <v>0</v>
      </c>
      <c r="AK111" s="810">
        <v>0</v>
      </c>
      <c r="AL111" s="810">
        <v>0</v>
      </c>
      <c r="AM111" s="810">
        <v>0</v>
      </c>
      <c r="AN111" s="810">
        <v>0</v>
      </c>
      <c r="AO111" s="810">
        <v>0</v>
      </c>
      <c r="AP111" s="810">
        <v>0</v>
      </c>
      <c r="AQ111" s="810">
        <v>0</v>
      </c>
      <c r="AR111" s="810">
        <v>0</v>
      </c>
      <c r="AS111" s="810">
        <v>0</v>
      </c>
      <c r="AT111" s="810">
        <v>0</v>
      </c>
      <c r="AU111" s="810">
        <f t="shared" si="1"/>
        <v>0</v>
      </c>
      <c r="AV111" s="810">
        <v>15752.61</v>
      </c>
      <c r="AW111" s="810">
        <v>32669.57</v>
      </c>
      <c r="AX111" s="811">
        <v>93</v>
      </c>
      <c r="AY111" s="811">
        <v>360</v>
      </c>
      <c r="AZ111" s="810">
        <v>223085.51</v>
      </c>
      <c r="BA111" s="810">
        <v>62000</v>
      </c>
      <c r="BB111" s="812">
        <v>86.71</v>
      </c>
      <c r="BC111" s="812">
        <v>71.148617820967701</v>
      </c>
      <c r="BD111" s="812">
        <v>10</v>
      </c>
      <c r="BE111" s="812"/>
      <c r="BF111" s="808" t="s">
        <v>815</v>
      </c>
      <c r="BG111" s="805"/>
      <c r="BH111" s="808" t="s">
        <v>540</v>
      </c>
      <c r="BI111" s="808" t="s">
        <v>909</v>
      </c>
      <c r="BJ111" s="808" t="s">
        <v>910</v>
      </c>
      <c r="BK111" s="808" t="s">
        <v>338</v>
      </c>
      <c r="BL111" s="806" t="s">
        <v>2</v>
      </c>
      <c r="BM111" s="812">
        <v>417584.64389736002</v>
      </c>
      <c r="BN111" s="806" t="s">
        <v>740</v>
      </c>
      <c r="BO111" s="812"/>
      <c r="BP111" s="813">
        <v>37385</v>
      </c>
      <c r="BQ111" s="813">
        <v>48334</v>
      </c>
      <c r="BR111" s="812">
        <v>24140.080000000002</v>
      </c>
      <c r="BS111" s="812">
        <v>90</v>
      </c>
      <c r="BT111" s="812">
        <v>52.7</v>
      </c>
    </row>
    <row r="112" spans="1:72" s="802" customFormat="1" ht="18.2" customHeight="1" x14ac:dyDescent="0.15">
      <c r="A112" s="814">
        <v>110</v>
      </c>
      <c r="B112" s="815" t="s">
        <v>413</v>
      </c>
      <c r="C112" s="815" t="s">
        <v>25</v>
      </c>
      <c r="D112" s="816">
        <v>45505</v>
      </c>
      <c r="E112" s="817" t="s">
        <v>586</v>
      </c>
      <c r="F112" s="818">
        <v>93</v>
      </c>
      <c r="G112" s="818">
        <v>92</v>
      </c>
      <c r="H112" s="819">
        <v>29871.81</v>
      </c>
      <c r="I112" s="819">
        <v>20153.87</v>
      </c>
      <c r="J112" s="819">
        <v>0</v>
      </c>
      <c r="K112" s="819">
        <v>50025.68</v>
      </c>
      <c r="L112" s="819">
        <v>315.81</v>
      </c>
      <c r="M112" s="819">
        <v>0</v>
      </c>
      <c r="N112" s="819">
        <v>0</v>
      </c>
      <c r="O112" s="819">
        <v>0</v>
      </c>
      <c r="P112" s="819">
        <v>0</v>
      </c>
      <c r="Q112" s="819">
        <v>0</v>
      </c>
      <c r="R112" s="819">
        <v>0</v>
      </c>
      <c r="S112" s="819">
        <v>50025.68</v>
      </c>
      <c r="T112" s="819">
        <v>31303.51</v>
      </c>
      <c r="U112" s="819">
        <v>248.91</v>
      </c>
      <c r="V112" s="819">
        <v>0</v>
      </c>
      <c r="W112" s="819">
        <v>0</v>
      </c>
      <c r="X112" s="819">
        <v>0</v>
      </c>
      <c r="Y112" s="819">
        <v>0</v>
      </c>
      <c r="Z112" s="819">
        <v>0</v>
      </c>
      <c r="AA112" s="819">
        <v>31552.42</v>
      </c>
      <c r="AB112" s="819">
        <v>0</v>
      </c>
      <c r="AC112" s="819">
        <v>0</v>
      </c>
      <c r="AD112" s="819">
        <v>0</v>
      </c>
      <c r="AE112" s="819">
        <v>0</v>
      </c>
      <c r="AF112" s="819">
        <v>0</v>
      </c>
      <c r="AG112" s="819">
        <v>0</v>
      </c>
      <c r="AH112" s="819">
        <v>0</v>
      </c>
      <c r="AI112" s="819">
        <v>0</v>
      </c>
      <c r="AJ112" s="819">
        <v>0</v>
      </c>
      <c r="AK112" s="819">
        <v>0</v>
      </c>
      <c r="AL112" s="819">
        <v>0</v>
      </c>
      <c r="AM112" s="819">
        <v>0</v>
      </c>
      <c r="AN112" s="819">
        <v>0</v>
      </c>
      <c r="AO112" s="819">
        <v>0</v>
      </c>
      <c r="AP112" s="819">
        <v>0</v>
      </c>
      <c r="AQ112" s="819">
        <v>0</v>
      </c>
      <c r="AR112" s="819">
        <v>0</v>
      </c>
      <c r="AS112" s="819">
        <v>0</v>
      </c>
      <c r="AT112" s="819">
        <v>0</v>
      </c>
      <c r="AU112" s="819">
        <f t="shared" si="1"/>
        <v>0</v>
      </c>
      <c r="AV112" s="819">
        <v>20469.68</v>
      </c>
      <c r="AW112" s="819">
        <v>31552.42</v>
      </c>
      <c r="AX112" s="820">
        <v>69</v>
      </c>
      <c r="AY112" s="820">
        <v>360</v>
      </c>
      <c r="AZ112" s="819">
        <v>223085.51</v>
      </c>
      <c r="BA112" s="819">
        <v>64350</v>
      </c>
      <c r="BB112" s="821">
        <v>90</v>
      </c>
      <c r="BC112" s="821">
        <v>69.965986013985997</v>
      </c>
      <c r="BD112" s="821">
        <v>10</v>
      </c>
      <c r="BE112" s="821"/>
      <c r="BF112" s="817" t="s">
        <v>815</v>
      </c>
      <c r="BG112" s="814"/>
      <c r="BH112" s="817" t="s">
        <v>540</v>
      </c>
      <c r="BI112" s="817" t="s">
        <v>909</v>
      </c>
      <c r="BJ112" s="817" t="s">
        <v>910</v>
      </c>
      <c r="BK112" s="817" t="s">
        <v>338</v>
      </c>
      <c r="BL112" s="815" t="s">
        <v>2</v>
      </c>
      <c r="BM112" s="821">
        <v>410627.99027392</v>
      </c>
      <c r="BN112" s="815" t="s">
        <v>740</v>
      </c>
      <c r="BO112" s="821"/>
      <c r="BP112" s="822">
        <v>37385</v>
      </c>
      <c r="BQ112" s="822">
        <v>48334</v>
      </c>
      <c r="BR112" s="821">
        <v>25220.68</v>
      </c>
      <c r="BS112" s="821">
        <v>90</v>
      </c>
      <c r="BT112" s="821">
        <v>52.7</v>
      </c>
    </row>
    <row r="113" spans="1:72" s="802" customFormat="1" ht="18.2" customHeight="1" x14ac:dyDescent="0.15">
      <c r="A113" s="805">
        <v>111</v>
      </c>
      <c r="B113" s="806" t="s">
        <v>413</v>
      </c>
      <c r="C113" s="806" t="s">
        <v>25</v>
      </c>
      <c r="D113" s="807">
        <v>45505</v>
      </c>
      <c r="E113" s="808" t="s">
        <v>919</v>
      </c>
      <c r="F113" s="809">
        <v>0</v>
      </c>
      <c r="G113" s="809">
        <v>1</v>
      </c>
      <c r="H113" s="810">
        <v>35133</v>
      </c>
      <c r="I113" s="810">
        <v>536.1</v>
      </c>
      <c r="J113" s="810">
        <v>0</v>
      </c>
      <c r="K113" s="810">
        <v>35669.1</v>
      </c>
      <c r="L113" s="810">
        <v>540.66</v>
      </c>
      <c r="M113" s="810">
        <v>0</v>
      </c>
      <c r="N113" s="810">
        <v>0</v>
      </c>
      <c r="O113" s="810">
        <v>536.1</v>
      </c>
      <c r="P113" s="810">
        <v>540.66</v>
      </c>
      <c r="Q113" s="810">
        <v>0</v>
      </c>
      <c r="R113" s="810">
        <v>0</v>
      </c>
      <c r="S113" s="810">
        <v>34592.339999999997</v>
      </c>
      <c r="T113" s="810">
        <v>303.19</v>
      </c>
      <c r="U113" s="810">
        <v>298.63</v>
      </c>
      <c r="V113" s="810">
        <v>0</v>
      </c>
      <c r="W113" s="810">
        <v>303.19</v>
      </c>
      <c r="X113" s="810">
        <v>298.63</v>
      </c>
      <c r="Y113" s="810">
        <v>0</v>
      </c>
      <c r="Z113" s="810">
        <v>0</v>
      </c>
      <c r="AA113" s="810">
        <v>0</v>
      </c>
      <c r="AB113" s="810">
        <v>100</v>
      </c>
      <c r="AC113" s="810">
        <v>0</v>
      </c>
      <c r="AD113" s="810">
        <v>0</v>
      </c>
      <c r="AE113" s="810">
        <v>0</v>
      </c>
      <c r="AF113" s="810">
        <v>0</v>
      </c>
      <c r="AG113" s="810">
        <v>0</v>
      </c>
      <c r="AH113" s="810">
        <v>111.9</v>
      </c>
      <c r="AI113" s="810">
        <v>78.290000000000006</v>
      </c>
      <c r="AJ113" s="810">
        <v>100</v>
      </c>
      <c r="AK113" s="810">
        <v>0</v>
      </c>
      <c r="AL113" s="810">
        <v>0</v>
      </c>
      <c r="AM113" s="810">
        <v>0</v>
      </c>
      <c r="AN113" s="810">
        <v>0</v>
      </c>
      <c r="AO113" s="810">
        <v>111.9</v>
      </c>
      <c r="AP113" s="810">
        <v>78.290000000000006</v>
      </c>
      <c r="AQ113" s="810">
        <v>836.92899999999997</v>
      </c>
      <c r="AR113" s="810">
        <v>0</v>
      </c>
      <c r="AS113" s="810">
        <v>0</v>
      </c>
      <c r="AT113" s="810">
        <v>0</v>
      </c>
      <c r="AU113" s="810">
        <f t="shared" si="1"/>
        <v>3095.8889999999997</v>
      </c>
      <c r="AV113" s="810">
        <v>0</v>
      </c>
      <c r="AW113" s="810">
        <v>0</v>
      </c>
      <c r="AX113" s="811">
        <v>92</v>
      </c>
      <c r="AY113" s="811">
        <v>360</v>
      </c>
      <c r="AZ113" s="810">
        <v>325556.69</v>
      </c>
      <c r="BA113" s="810">
        <v>94050</v>
      </c>
      <c r="BB113" s="812">
        <v>90</v>
      </c>
      <c r="BC113" s="812">
        <v>33.102717703349299</v>
      </c>
      <c r="BD113" s="812">
        <v>10.199999999999999</v>
      </c>
      <c r="BE113" s="812"/>
      <c r="BF113" s="808" t="s">
        <v>815</v>
      </c>
      <c r="BG113" s="805"/>
      <c r="BH113" s="808" t="s">
        <v>823</v>
      </c>
      <c r="BI113" s="808" t="s">
        <v>920</v>
      </c>
      <c r="BJ113" s="808"/>
      <c r="BK113" s="808" t="s">
        <v>309</v>
      </c>
      <c r="BL113" s="806" t="s">
        <v>2</v>
      </c>
      <c r="BM113" s="812">
        <v>283945.82648495998</v>
      </c>
      <c r="BN113" s="806" t="s">
        <v>740</v>
      </c>
      <c r="BO113" s="812"/>
      <c r="BP113" s="813">
        <v>37405</v>
      </c>
      <c r="BQ113" s="813">
        <v>48334</v>
      </c>
      <c r="BR113" s="812">
        <v>0</v>
      </c>
      <c r="BS113" s="812">
        <v>100</v>
      </c>
      <c r="BT113" s="812">
        <v>0</v>
      </c>
    </row>
    <row r="114" spans="1:72" s="802" customFormat="1" ht="18.2" customHeight="1" x14ac:dyDescent="0.15">
      <c r="A114" s="814">
        <v>112</v>
      </c>
      <c r="B114" s="815" t="s">
        <v>413</v>
      </c>
      <c r="C114" s="815" t="s">
        <v>25</v>
      </c>
      <c r="D114" s="816">
        <v>45505</v>
      </c>
      <c r="E114" s="817" t="s">
        <v>587</v>
      </c>
      <c r="F114" s="818">
        <v>204</v>
      </c>
      <c r="G114" s="818">
        <v>203</v>
      </c>
      <c r="H114" s="819">
        <v>50345.09</v>
      </c>
      <c r="I114" s="819">
        <v>39709.199999999997</v>
      </c>
      <c r="J114" s="819">
        <v>0</v>
      </c>
      <c r="K114" s="819">
        <v>90054.29</v>
      </c>
      <c r="L114" s="819">
        <v>411.38</v>
      </c>
      <c r="M114" s="819">
        <v>0</v>
      </c>
      <c r="N114" s="819">
        <v>0</v>
      </c>
      <c r="O114" s="819">
        <v>0</v>
      </c>
      <c r="P114" s="819">
        <v>0</v>
      </c>
      <c r="Q114" s="819">
        <v>0</v>
      </c>
      <c r="R114" s="819">
        <v>0</v>
      </c>
      <c r="S114" s="819">
        <v>90054.29</v>
      </c>
      <c r="T114" s="819">
        <v>130183.19</v>
      </c>
      <c r="U114" s="819">
        <v>427.91</v>
      </c>
      <c r="V114" s="819">
        <v>0</v>
      </c>
      <c r="W114" s="819">
        <v>0</v>
      </c>
      <c r="X114" s="819">
        <v>0</v>
      </c>
      <c r="Y114" s="819">
        <v>0</v>
      </c>
      <c r="Z114" s="819">
        <v>0</v>
      </c>
      <c r="AA114" s="819">
        <v>130611.1</v>
      </c>
      <c r="AB114" s="819">
        <v>0</v>
      </c>
      <c r="AC114" s="819">
        <v>0</v>
      </c>
      <c r="AD114" s="819">
        <v>0</v>
      </c>
      <c r="AE114" s="819">
        <v>0</v>
      </c>
      <c r="AF114" s="819">
        <v>0</v>
      </c>
      <c r="AG114" s="819">
        <v>0</v>
      </c>
      <c r="AH114" s="819">
        <v>0</v>
      </c>
      <c r="AI114" s="819">
        <v>0</v>
      </c>
      <c r="AJ114" s="819">
        <v>0</v>
      </c>
      <c r="AK114" s="819">
        <v>0</v>
      </c>
      <c r="AL114" s="819">
        <v>0</v>
      </c>
      <c r="AM114" s="819">
        <v>0</v>
      </c>
      <c r="AN114" s="819">
        <v>0</v>
      </c>
      <c r="AO114" s="819">
        <v>0</v>
      </c>
      <c r="AP114" s="819">
        <v>0</v>
      </c>
      <c r="AQ114" s="819">
        <v>0</v>
      </c>
      <c r="AR114" s="819">
        <v>0</v>
      </c>
      <c r="AS114" s="819">
        <v>0</v>
      </c>
      <c r="AT114" s="819">
        <v>0</v>
      </c>
      <c r="AU114" s="819">
        <f t="shared" si="1"/>
        <v>0</v>
      </c>
      <c r="AV114" s="819">
        <v>40120.58</v>
      </c>
      <c r="AW114" s="819">
        <v>130611.1</v>
      </c>
      <c r="AX114" s="820">
        <v>84</v>
      </c>
      <c r="AY114" s="820">
        <v>360</v>
      </c>
      <c r="AZ114" s="819">
        <v>325667.77</v>
      </c>
      <c r="BA114" s="819">
        <v>94050</v>
      </c>
      <c r="BB114" s="821">
        <v>90</v>
      </c>
      <c r="BC114" s="821">
        <v>86.176354066985596</v>
      </c>
      <c r="BD114" s="821">
        <v>10.199999999999999</v>
      </c>
      <c r="BE114" s="821"/>
      <c r="BF114" s="817" t="s">
        <v>815</v>
      </c>
      <c r="BG114" s="814"/>
      <c r="BH114" s="817" t="s">
        <v>540</v>
      </c>
      <c r="BI114" s="817" t="s">
        <v>818</v>
      </c>
      <c r="BJ114" s="817"/>
      <c r="BK114" s="817" t="s">
        <v>338</v>
      </c>
      <c r="BL114" s="815" t="s">
        <v>2</v>
      </c>
      <c r="BM114" s="821">
        <v>739196.59099576005</v>
      </c>
      <c r="BN114" s="815" t="s">
        <v>740</v>
      </c>
      <c r="BO114" s="821"/>
      <c r="BP114" s="822">
        <v>37407</v>
      </c>
      <c r="BQ114" s="822">
        <v>48334</v>
      </c>
      <c r="BR114" s="821">
        <v>67794.100000000006</v>
      </c>
      <c r="BS114" s="821">
        <v>100</v>
      </c>
      <c r="BT114" s="821">
        <v>28.65</v>
      </c>
    </row>
    <row r="115" spans="1:72" s="802" customFormat="1" ht="18.2" customHeight="1" x14ac:dyDescent="0.15">
      <c r="A115" s="805">
        <v>113</v>
      </c>
      <c r="B115" s="806" t="s">
        <v>413</v>
      </c>
      <c r="C115" s="806" t="s">
        <v>25</v>
      </c>
      <c r="D115" s="807">
        <v>45505</v>
      </c>
      <c r="E115" s="808" t="s">
        <v>921</v>
      </c>
      <c r="F115" s="809">
        <v>0</v>
      </c>
      <c r="G115" s="809">
        <v>3</v>
      </c>
      <c r="H115" s="810">
        <v>34680.1</v>
      </c>
      <c r="I115" s="810">
        <v>813.56</v>
      </c>
      <c r="J115" s="810">
        <v>0</v>
      </c>
      <c r="K115" s="810">
        <v>35493.660000000003</v>
      </c>
      <c r="L115" s="810">
        <v>275.72000000000003</v>
      </c>
      <c r="M115" s="810">
        <v>0</v>
      </c>
      <c r="N115" s="810">
        <v>0</v>
      </c>
      <c r="O115" s="810">
        <v>813.56</v>
      </c>
      <c r="P115" s="810">
        <v>275.72000000000003</v>
      </c>
      <c r="Q115" s="810">
        <v>0</v>
      </c>
      <c r="R115" s="810">
        <v>0</v>
      </c>
      <c r="S115" s="810">
        <v>34404.379999999997</v>
      </c>
      <c r="T115" s="810">
        <v>880.6</v>
      </c>
      <c r="U115" s="810">
        <v>289</v>
      </c>
      <c r="V115" s="810">
        <v>0</v>
      </c>
      <c r="W115" s="810">
        <v>584.82000000000005</v>
      </c>
      <c r="X115" s="810">
        <v>584.78</v>
      </c>
      <c r="Y115" s="810">
        <v>0</v>
      </c>
      <c r="Z115" s="810">
        <v>0</v>
      </c>
      <c r="AA115" s="810">
        <v>0</v>
      </c>
      <c r="AB115" s="810">
        <v>90</v>
      </c>
      <c r="AC115" s="810">
        <v>0</v>
      </c>
      <c r="AD115" s="810">
        <v>25</v>
      </c>
      <c r="AE115" s="810">
        <v>0</v>
      </c>
      <c r="AF115" s="810">
        <v>27.69</v>
      </c>
      <c r="AG115" s="810">
        <v>0</v>
      </c>
      <c r="AH115" s="810">
        <v>79.72</v>
      </c>
      <c r="AI115" s="810">
        <v>45.08</v>
      </c>
      <c r="AJ115" s="810">
        <v>270</v>
      </c>
      <c r="AK115" s="810">
        <v>0</v>
      </c>
      <c r="AL115" s="810">
        <v>75</v>
      </c>
      <c r="AM115" s="810">
        <v>55.38</v>
      </c>
      <c r="AN115" s="810">
        <v>0</v>
      </c>
      <c r="AO115" s="810">
        <v>239.16</v>
      </c>
      <c r="AP115" s="810">
        <v>134.36000000000001</v>
      </c>
      <c r="AQ115" s="810">
        <v>10.452999999999999</v>
      </c>
      <c r="AR115" s="810">
        <v>0</v>
      </c>
      <c r="AS115" s="810">
        <v>0</v>
      </c>
      <c r="AT115" s="810">
        <v>0</v>
      </c>
      <c r="AU115" s="810">
        <f t="shared" si="1"/>
        <v>3310.723</v>
      </c>
      <c r="AV115" s="810">
        <v>0</v>
      </c>
      <c r="AW115" s="810">
        <v>0</v>
      </c>
      <c r="AX115" s="811">
        <v>93</v>
      </c>
      <c r="AY115" s="811">
        <v>360</v>
      </c>
      <c r="AZ115" s="810">
        <v>223270.26</v>
      </c>
      <c r="BA115" s="810">
        <v>64350</v>
      </c>
      <c r="BB115" s="812">
        <v>90</v>
      </c>
      <c r="BC115" s="812">
        <v>48.118013986013999</v>
      </c>
      <c r="BD115" s="812">
        <v>10</v>
      </c>
      <c r="BE115" s="812"/>
      <c r="BF115" s="808" t="s">
        <v>815</v>
      </c>
      <c r="BG115" s="805"/>
      <c r="BH115" s="808" t="s">
        <v>540</v>
      </c>
      <c r="BI115" s="808" t="s">
        <v>909</v>
      </c>
      <c r="BJ115" s="808" t="s">
        <v>910</v>
      </c>
      <c r="BK115" s="808" t="s">
        <v>309</v>
      </c>
      <c r="BL115" s="806" t="s">
        <v>2</v>
      </c>
      <c r="BM115" s="812">
        <v>282402.98614672001</v>
      </c>
      <c r="BN115" s="806" t="s">
        <v>740</v>
      </c>
      <c r="BO115" s="812"/>
      <c r="BP115" s="813">
        <v>37421</v>
      </c>
      <c r="BQ115" s="813">
        <v>48366</v>
      </c>
      <c r="BR115" s="812">
        <v>0</v>
      </c>
      <c r="BS115" s="812">
        <v>90</v>
      </c>
      <c r="BT115" s="812">
        <v>25</v>
      </c>
    </row>
    <row r="116" spans="1:72" s="802" customFormat="1" ht="18.2" customHeight="1" x14ac:dyDescent="0.15">
      <c r="A116" s="814">
        <v>114</v>
      </c>
      <c r="B116" s="815" t="s">
        <v>413</v>
      </c>
      <c r="C116" s="815" t="s">
        <v>25</v>
      </c>
      <c r="D116" s="816">
        <v>45505</v>
      </c>
      <c r="E116" s="817" t="s">
        <v>588</v>
      </c>
      <c r="F116" s="818">
        <v>0</v>
      </c>
      <c r="G116" s="818">
        <v>0</v>
      </c>
      <c r="H116" s="819">
        <v>32211.24</v>
      </c>
      <c r="I116" s="819">
        <v>0</v>
      </c>
      <c r="J116" s="819">
        <v>0.03</v>
      </c>
      <c r="K116" s="819">
        <v>32211.24</v>
      </c>
      <c r="L116" s="819">
        <v>233.54</v>
      </c>
      <c r="M116" s="819">
        <v>0</v>
      </c>
      <c r="N116" s="819">
        <v>0</v>
      </c>
      <c r="O116" s="819">
        <v>0.03</v>
      </c>
      <c r="P116" s="819">
        <v>233.51</v>
      </c>
      <c r="Q116" s="819">
        <v>0</v>
      </c>
      <c r="R116" s="819">
        <v>0</v>
      </c>
      <c r="S116" s="819">
        <v>31977.7</v>
      </c>
      <c r="T116" s="819">
        <v>0</v>
      </c>
      <c r="U116" s="819">
        <v>268.43</v>
      </c>
      <c r="V116" s="819">
        <v>0</v>
      </c>
      <c r="W116" s="819">
        <v>0</v>
      </c>
      <c r="X116" s="819">
        <v>268.43</v>
      </c>
      <c r="Y116" s="819">
        <v>0</v>
      </c>
      <c r="Z116" s="819">
        <v>0</v>
      </c>
      <c r="AA116" s="819">
        <v>0</v>
      </c>
      <c r="AB116" s="819">
        <v>90</v>
      </c>
      <c r="AC116" s="819">
        <v>0</v>
      </c>
      <c r="AD116" s="819">
        <v>25</v>
      </c>
      <c r="AE116" s="819">
        <v>0</v>
      </c>
      <c r="AF116" s="819">
        <v>0</v>
      </c>
      <c r="AG116" s="819">
        <v>0</v>
      </c>
      <c r="AH116" s="819">
        <v>72.819999999999993</v>
      </c>
      <c r="AI116" s="819">
        <v>45.1</v>
      </c>
      <c r="AJ116" s="819">
        <v>0</v>
      </c>
      <c r="AK116" s="819">
        <v>0</v>
      </c>
      <c r="AL116" s="819">
        <v>0</v>
      </c>
      <c r="AM116" s="819">
        <v>0</v>
      </c>
      <c r="AN116" s="819">
        <v>0</v>
      </c>
      <c r="AO116" s="819">
        <v>0</v>
      </c>
      <c r="AP116" s="819">
        <v>0</v>
      </c>
      <c r="AQ116" s="819">
        <v>0</v>
      </c>
      <c r="AR116" s="819">
        <v>0</v>
      </c>
      <c r="AS116" s="819">
        <v>0</v>
      </c>
      <c r="AT116" s="819">
        <v>0</v>
      </c>
      <c r="AU116" s="819">
        <f t="shared" si="1"/>
        <v>734.86</v>
      </c>
      <c r="AV116" s="819">
        <v>0</v>
      </c>
      <c r="AW116" s="819">
        <v>0</v>
      </c>
      <c r="AX116" s="820">
        <v>93</v>
      </c>
      <c r="AY116" s="820">
        <v>360</v>
      </c>
      <c r="AZ116" s="819">
        <v>223270.26</v>
      </c>
      <c r="BA116" s="819">
        <v>57200</v>
      </c>
      <c r="BB116" s="821">
        <v>80</v>
      </c>
      <c r="BC116" s="821">
        <v>44.724055944055898</v>
      </c>
      <c r="BD116" s="821">
        <v>10</v>
      </c>
      <c r="BE116" s="821"/>
      <c r="BF116" s="817" t="s">
        <v>815</v>
      </c>
      <c r="BG116" s="814"/>
      <c r="BH116" s="817" t="s">
        <v>540</v>
      </c>
      <c r="BI116" s="817" t="s">
        <v>909</v>
      </c>
      <c r="BJ116" s="817" t="s">
        <v>910</v>
      </c>
      <c r="BK116" s="817" t="s">
        <v>309</v>
      </c>
      <c r="BL116" s="815" t="s">
        <v>2</v>
      </c>
      <c r="BM116" s="821">
        <v>262483.96192879998</v>
      </c>
      <c r="BN116" s="815" t="s">
        <v>740</v>
      </c>
      <c r="BO116" s="821"/>
      <c r="BP116" s="822">
        <v>37421</v>
      </c>
      <c r="BQ116" s="822">
        <v>48366</v>
      </c>
      <c r="BR116" s="821">
        <v>0</v>
      </c>
      <c r="BS116" s="821">
        <v>90</v>
      </c>
      <c r="BT116" s="821">
        <v>25</v>
      </c>
    </row>
    <row r="117" spans="1:72" s="802" customFormat="1" ht="18.2" customHeight="1" x14ac:dyDescent="0.15">
      <c r="A117" s="805">
        <v>115</v>
      </c>
      <c r="B117" s="806" t="s">
        <v>413</v>
      </c>
      <c r="C117" s="806" t="s">
        <v>25</v>
      </c>
      <c r="D117" s="807">
        <v>45505</v>
      </c>
      <c r="E117" s="808" t="s">
        <v>589</v>
      </c>
      <c r="F117" s="809">
        <v>160</v>
      </c>
      <c r="G117" s="809">
        <v>159</v>
      </c>
      <c r="H117" s="810">
        <v>36960.660000000003</v>
      </c>
      <c r="I117" s="810">
        <v>22569.83</v>
      </c>
      <c r="J117" s="810">
        <v>0</v>
      </c>
      <c r="K117" s="810">
        <v>59530.49</v>
      </c>
      <c r="L117" s="810">
        <v>256.73</v>
      </c>
      <c r="M117" s="810">
        <v>0</v>
      </c>
      <c r="N117" s="810">
        <v>0</v>
      </c>
      <c r="O117" s="810">
        <v>0</v>
      </c>
      <c r="P117" s="810">
        <v>0</v>
      </c>
      <c r="Q117" s="810">
        <v>0</v>
      </c>
      <c r="R117" s="810">
        <v>0</v>
      </c>
      <c r="S117" s="810">
        <v>59530.49</v>
      </c>
      <c r="T117" s="810">
        <v>66948.34</v>
      </c>
      <c r="U117" s="810">
        <v>307.99</v>
      </c>
      <c r="V117" s="810">
        <v>0</v>
      </c>
      <c r="W117" s="810">
        <v>0</v>
      </c>
      <c r="X117" s="810">
        <v>0</v>
      </c>
      <c r="Y117" s="810">
        <v>0</v>
      </c>
      <c r="Z117" s="810">
        <v>0</v>
      </c>
      <c r="AA117" s="810">
        <v>67256.33</v>
      </c>
      <c r="AB117" s="810">
        <v>0</v>
      </c>
      <c r="AC117" s="810">
        <v>0</v>
      </c>
      <c r="AD117" s="810">
        <v>0</v>
      </c>
      <c r="AE117" s="810">
        <v>0</v>
      </c>
      <c r="AF117" s="810">
        <v>0</v>
      </c>
      <c r="AG117" s="810">
        <v>0</v>
      </c>
      <c r="AH117" s="810">
        <v>0</v>
      </c>
      <c r="AI117" s="810">
        <v>0</v>
      </c>
      <c r="AJ117" s="810">
        <v>0</v>
      </c>
      <c r="AK117" s="810">
        <v>0</v>
      </c>
      <c r="AL117" s="810">
        <v>0</v>
      </c>
      <c r="AM117" s="810">
        <v>0</v>
      </c>
      <c r="AN117" s="810">
        <v>0</v>
      </c>
      <c r="AO117" s="810">
        <v>0</v>
      </c>
      <c r="AP117" s="810">
        <v>0</v>
      </c>
      <c r="AQ117" s="810">
        <v>0</v>
      </c>
      <c r="AR117" s="810">
        <v>0</v>
      </c>
      <c r="AS117" s="810">
        <v>0</v>
      </c>
      <c r="AT117" s="810">
        <v>0</v>
      </c>
      <c r="AU117" s="810">
        <f t="shared" si="1"/>
        <v>0</v>
      </c>
      <c r="AV117" s="810">
        <v>22826.560000000001</v>
      </c>
      <c r="AW117" s="810">
        <v>67256.33</v>
      </c>
      <c r="AX117" s="811">
        <v>93</v>
      </c>
      <c r="AY117" s="811">
        <v>360</v>
      </c>
      <c r="AZ117" s="810">
        <v>223270.26</v>
      </c>
      <c r="BA117" s="810">
        <v>64350</v>
      </c>
      <c r="BB117" s="812">
        <v>90</v>
      </c>
      <c r="BC117" s="812">
        <v>83.259426573426595</v>
      </c>
      <c r="BD117" s="812">
        <v>10</v>
      </c>
      <c r="BE117" s="812"/>
      <c r="BF117" s="808" t="s">
        <v>815</v>
      </c>
      <c r="BG117" s="805"/>
      <c r="BH117" s="808" t="s">
        <v>540</v>
      </c>
      <c r="BI117" s="808" t="s">
        <v>909</v>
      </c>
      <c r="BJ117" s="808" t="s">
        <v>910</v>
      </c>
      <c r="BK117" s="808" t="s">
        <v>338</v>
      </c>
      <c r="BL117" s="806" t="s">
        <v>2</v>
      </c>
      <c r="BM117" s="812">
        <v>488646.74040856003</v>
      </c>
      <c r="BN117" s="806" t="s">
        <v>740</v>
      </c>
      <c r="BO117" s="812"/>
      <c r="BP117" s="813">
        <v>37421</v>
      </c>
      <c r="BQ117" s="813">
        <v>48366</v>
      </c>
      <c r="BR117" s="812">
        <v>43928.13</v>
      </c>
      <c r="BS117" s="812">
        <v>90</v>
      </c>
      <c r="BT117" s="812">
        <v>52.69</v>
      </c>
    </row>
    <row r="118" spans="1:72" s="802" customFormat="1" ht="18.2" customHeight="1" x14ac:dyDescent="0.15">
      <c r="A118" s="814">
        <v>116</v>
      </c>
      <c r="B118" s="815" t="s">
        <v>413</v>
      </c>
      <c r="C118" s="815" t="s">
        <v>25</v>
      </c>
      <c r="D118" s="816">
        <v>45505</v>
      </c>
      <c r="E118" s="817" t="s">
        <v>922</v>
      </c>
      <c r="F118" s="818">
        <v>0</v>
      </c>
      <c r="G118" s="818">
        <v>1</v>
      </c>
      <c r="H118" s="819">
        <v>54208.25</v>
      </c>
      <c r="I118" s="819">
        <v>372.42</v>
      </c>
      <c r="J118" s="819">
        <v>0</v>
      </c>
      <c r="K118" s="819">
        <v>54580.67</v>
      </c>
      <c r="L118" s="819">
        <v>375.59</v>
      </c>
      <c r="M118" s="819">
        <v>0</v>
      </c>
      <c r="N118" s="819">
        <v>0</v>
      </c>
      <c r="O118" s="819">
        <v>372.42</v>
      </c>
      <c r="P118" s="819">
        <v>375.59</v>
      </c>
      <c r="Q118" s="819">
        <v>0</v>
      </c>
      <c r="R118" s="819">
        <v>0</v>
      </c>
      <c r="S118" s="819">
        <v>54177.75</v>
      </c>
      <c r="T118" s="819">
        <v>466.87</v>
      </c>
      <c r="U118" s="819">
        <v>463.7</v>
      </c>
      <c r="V118" s="819">
        <v>0</v>
      </c>
      <c r="W118" s="819">
        <v>0</v>
      </c>
      <c r="X118" s="819">
        <v>930.57</v>
      </c>
      <c r="Y118" s="819">
        <v>0</v>
      </c>
      <c r="Z118" s="819">
        <v>0</v>
      </c>
      <c r="AA118" s="819">
        <v>0</v>
      </c>
      <c r="AB118" s="819">
        <v>100</v>
      </c>
      <c r="AC118" s="819">
        <v>0</v>
      </c>
      <c r="AD118" s="819">
        <v>0</v>
      </c>
      <c r="AE118" s="819">
        <v>0</v>
      </c>
      <c r="AF118" s="819">
        <v>0</v>
      </c>
      <c r="AG118" s="819">
        <v>0</v>
      </c>
      <c r="AH118" s="819">
        <v>111.9</v>
      </c>
      <c r="AI118" s="819">
        <v>78.23</v>
      </c>
      <c r="AJ118" s="819">
        <v>100</v>
      </c>
      <c r="AK118" s="819">
        <v>0</v>
      </c>
      <c r="AL118" s="819">
        <v>0</v>
      </c>
      <c r="AM118" s="819">
        <v>0</v>
      </c>
      <c r="AN118" s="819">
        <v>0</v>
      </c>
      <c r="AO118" s="819">
        <v>111.9</v>
      </c>
      <c r="AP118" s="819">
        <v>78.17</v>
      </c>
      <c r="AQ118" s="819">
        <v>6.0999999999999999E-2</v>
      </c>
      <c r="AR118" s="819">
        <v>0</v>
      </c>
      <c r="AS118" s="819">
        <v>0</v>
      </c>
      <c r="AT118" s="819">
        <v>0</v>
      </c>
      <c r="AU118" s="819">
        <f t="shared" si="1"/>
        <v>2258.8410000000003</v>
      </c>
      <c r="AV118" s="819">
        <v>0</v>
      </c>
      <c r="AW118" s="819">
        <v>0</v>
      </c>
      <c r="AX118" s="820">
        <v>93</v>
      </c>
      <c r="AY118" s="820">
        <v>360</v>
      </c>
      <c r="AZ118" s="819">
        <v>326482.65999999997</v>
      </c>
      <c r="BA118" s="819">
        <v>94050</v>
      </c>
      <c r="BB118" s="821">
        <v>90</v>
      </c>
      <c r="BC118" s="821">
        <v>51.844736842105299</v>
      </c>
      <c r="BD118" s="821">
        <v>10.199999999999999</v>
      </c>
      <c r="BE118" s="821"/>
      <c r="BF118" s="817" t="s">
        <v>815</v>
      </c>
      <c r="BG118" s="814"/>
      <c r="BH118" s="817" t="s">
        <v>540</v>
      </c>
      <c r="BI118" s="817" t="s">
        <v>843</v>
      </c>
      <c r="BJ118" s="817"/>
      <c r="BK118" s="817" t="s">
        <v>309</v>
      </c>
      <c r="BL118" s="815" t="s">
        <v>2</v>
      </c>
      <c r="BM118" s="821">
        <v>444709.609146</v>
      </c>
      <c r="BN118" s="815" t="s">
        <v>740</v>
      </c>
      <c r="BO118" s="821"/>
      <c r="BP118" s="822">
        <v>37428</v>
      </c>
      <c r="BQ118" s="822">
        <v>48366</v>
      </c>
      <c r="BR118" s="821">
        <v>0</v>
      </c>
      <c r="BS118" s="821">
        <v>100</v>
      </c>
      <c r="BT118" s="821">
        <v>0</v>
      </c>
    </row>
    <row r="119" spans="1:72" s="802" customFormat="1" ht="18.2" customHeight="1" x14ac:dyDescent="0.15">
      <c r="A119" s="805">
        <v>117</v>
      </c>
      <c r="B119" s="806" t="s">
        <v>413</v>
      </c>
      <c r="C119" s="806" t="s">
        <v>25</v>
      </c>
      <c r="D119" s="807">
        <v>45505</v>
      </c>
      <c r="E119" s="808" t="s">
        <v>923</v>
      </c>
      <c r="F119" s="809">
        <v>12</v>
      </c>
      <c r="G119" s="809">
        <v>11</v>
      </c>
      <c r="H119" s="810">
        <v>33865.21</v>
      </c>
      <c r="I119" s="810">
        <v>2905.64</v>
      </c>
      <c r="J119" s="810">
        <v>0</v>
      </c>
      <c r="K119" s="810">
        <v>36770.85</v>
      </c>
      <c r="L119" s="810">
        <v>282.52999999999997</v>
      </c>
      <c r="M119" s="810">
        <v>0</v>
      </c>
      <c r="N119" s="810">
        <v>0</v>
      </c>
      <c r="O119" s="810">
        <v>0</v>
      </c>
      <c r="P119" s="810">
        <v>0</v>
      </c>
      <c r="Q119" s="810">
        <v>0</v>
      </c>
      <c r="R119" s="810">
        <v>0</v>
      </c>
      <c r="S119" s="810">
        <v>36770.85</v>
      </c>
      <c r="T119" s="810">
        <v>2949.32</v>
      </c>
      <c r="U119" s="810">
        <v>282.19</v>
      </c>
      <c r="V119" s="810">
        <v>0</v>
      </c>
      <c r="W119" s="810">
        <v>0</v>
      </c>
      <c r="X119" s="810">
        <v>0</v>
      </c>
      <c r="Y119" s="810">
        <v>0</v>
      </c>
      <c r="Z119" s="810">
        <v>0</v>
      </c>
      <c r="AA119" s="810">
        <v>3231.51</v>
      </c>
      <c r="AB119" s="810">
        <v>0</v>
      </c>
      <c r="AC119" s="810">
        <v>0</v>
      </c>
      <c r="AD119" s="810">
        <v>0</v>
      </c>
      <c r="AE119" s="810">
        <v>0</v>
      </c>
      <c r="AF119" s="810">
        <v>0</v>
      </c>
      <c r="AG119" s="810">
        <v>0</v>
      </c>
      <c r="AH119" s="810">
        <v>0</v>
      </c>
      <c r="AI119" s="810">
        <v>0</v>
      </c>
      <c r="AJ119" s="810">
        <v>0</v>
      </c>
      <c r="AK119" s="810">
        <v>0</v>
      </c>
      <c r="AL119" s="810">
        <v>0</v>
      </c>
      <c r="AM119" s="810">
        <v>0</v>
      </c>
      <c r="AN119" s="810">
        <v>0</v>
      </c>
      <c r="AO119" s="810">
        <v>0</v>
      </c>
      <c r="AP119" s="810">
        <v>0</v>
      </c>
      <c r="AQ119" s="810">
        <v>0</v>
      </c>
      <c r="AR119" s="810">
        <v>0</v>
      </c>
      <c r="AS119" s="810">
        <v>0</v>
      </c>
      <c r="AT119" s="810">
        <v>0</v>
      </c>
      <c r="AU119" s="810">
        <f t="shared" si="1"/>
        <v>0</v>
      </c>
      <c r="AV119" s="810">
        <v>3188.17</v>
      </c>
      <c r="AW119" s="810">
        <v>3231.51</v>
      </c>
      <c r="AX119" s="811">
        <v>93</v>
      </c>
      <c r="AY119" s="811">
        <v>360</v>
      </c>
      <c r="AZ119" s="810">
        <v>223603.59</v>
      </c>
      <c r="BA119" s="810">
        <v>64350</v>
      </c>
      <c r="BB119" s="812">
        <v>90</v>
      </c>
      <c r="BC119" s="812">
        <v>51.427762237762202</v>
      </c>
      <c r="BD119" s="812">
        <v>10</v>
      </c>
      <c r="BE119" s="812"/>
      <c r="BF119" s="808" t="s">
        <v>815</v>
      </c>
      <c r="BG119" s="805"/>
      <c r="BH119" s="808" t="s">
        <v>540</v>
      </c>
      <c r="BI119" s="808" t="s">
        <v>909</v>
      </c>
      <c r="BJ119" s="808" t="s">
        <v>910</v>
      </c>
      <c r="BK119" s="808" t="s">
        <v>338</v>
      </c>
      <c r="BL119" s="806" t="s">
        <v>2</v>
      </c>
      <c r="BM119" s="812">
        <v>301827.78597239999</v>
      </c>
      <c r="BN119" s="806" t="s">
        <v>740</v>
      </c>
      <c r="BO119" s="812"/>
      <c r="BP119" s="813">
        <v>37435</v>
      </c>
      <c r="BQ119" s="813">
        <v>48366</v>
      </c>
      <c r="BR119" s="812">
        <v>2952.26</v>
      </c>
      <c r="BS119" s="812">
        <v>90</v>
      </c>
      <c r="BT119" s="812">
        <v>52.66</v>
      </c>
    </row>
    <row r="120" spans="1:72" s="802" customFormat="1" ht="18.2" customHeight="1" x14ac:dyDescent="0.15">
      <c r="A120" s="814">
        <v>118</v>
      </c>
      <c r="B120" s="815" t="s">
        <v>413</v>
      </c>
      <c r="C120" s="815" t="s">
        <v>25</v>
      </c>
      <c r="D120" s="816">
        <v>45505</v>
      </c>
      <c r="E120" s="817" t="s">
        <v>924</v>
      </c>
      <c r="F120" s="818">
        <v>0</v>
      </c>
      <c r="G120" s="818">
        <v>0</v>
      </c>
      <c r="H120" s="819">
        <v>19339.93</v>
      </c>
      <c r="I120" s="819">
        <v>0</v>
      </c>
      <c r="J120" s="819">
        <v>0</v>
      </c>
      <c r="K120" s="819">
        <v>19339.93</v>
      </c>
      <c r="L120" s="819">
        <v>487.53</v>
      </c>
      <c r="M120" s="819">
        <v>0</v>
      </c>
      <c r="N120" s="819">
        <v>0</v>
      </c>
      <c r="O120" s="819">
        <v>0</v>
      </c>
      <c r="P120" s="819">
        <v>487.53</v>
      </c>
      <c r="Q120" s="819">
        <v>0</v>
      </c>
      <c r="R120" s="819">
        <v>0</v>
      </c>
      <c r="S120" s="819">
        <v>19300.29</v>
      </c>
      <c r="T120" s="819">
        <v>0</v>
      </c>
      <c r="U120" s="819">
        <v>168.53</v>
      </c>
      <c r="V120" s="819">
        <v>0</v>
      </c>
      <c r="W120" s="819">
        <v>0</v>
      </c>
      <c r="X120" s="819">
        <v>168.53</v>
      </c>
      <c r="Y120" s="819">
        <v>0</v>
      </c>
      <c r="Z120" s="819">
        <v>0</v>
      </c>
      <c r="AA120" s="819">
        <v>0</v>
      </c>
      <c r="AB120" s="819">
        <v>77</v>
      </c>
      <c r="AC120" s="819">
        <v>0</v>
      </c>
      <c r="AD120" s="819">
        <v>0</v>
      </c>
      <c r="AE120" s="819">
        <v>0</v>
      </c>
      <c r="AF120" s="819">
        <v>0</v>
      </c>
      <c r="AG120" s="819">
        <v>0</v>
      </c>
      <c r="AH120" s="819">
        <v>38.869999999999997</v>
      </c>
      <c r="AI120" s="819">
        <v>44.78</v>
      </c>
      <c r="AJ120" s="819">
        <v>0</v>
      </c>
      <c r="AK120" s="819">
        <v>0</v>
      </c>
      <c r="AL120" s="819">
        <v>0</v>
      </c>
      <c r="AM120" s="819">
        <v>0</v>
      </c>
      <c r="AN120" s="819">
        <v>0</v>
      </c>
      <c r="AO120" s="819">
        <v>0</v>
      </c>
      <c r="AP120" s="819">
        <v>0</v>
      </c>
      <c r="AQ120" s="819">
        <v>3.2000000000000001E-2</v>
      </c>
      <c r="AR120" s="819">
        <v>0</v>
      </c>
      <c r="AS120" s="819">
        <v>0</v>
      </c>
      <c r="AT120" s="819">
        <v>0</v>
      </c>
      <c r="AU120" s="819">
        <f t="shared" si="1"/>
        <v>816.74199999999996</v>
      </c>
      <c r="AV120" s="819">
        <v>0</v>
      </c>
      <c r="AW120" s="819">
        <v>0</v>
      </c>
      <c r="AX120" s="820">
        <v>35</v>
      </c>
      <c r="AY120" s="820">
        <v>300</v>
      </c>
      <c r="AZ120" s="819">
        <v>246594.47</v>
      </c>
      <c r="BA120" s="819">
        <v>70983</v>
      </c>
      <c r="BB120" s="821">
        <v>90</v>
      </c>
      <c r="BC120" s="821">
        <v>24.471015595283401</v>
      </c>
      <c r="BD120" s="821">
        <v>10.220000000000001</v>
      </c>
      <c r="BE120" s="821"/>
      <c r="BF120" s="817" t="s">
        <v>815</v>
      </c>
      <c r="BG120" s="814"/>
      <c r="BH120" s="817" t="s">
        <v>903</v>
      </c>
      <c r="BI120" s="817" t="s">
        <v>912</v>
      </c>
      <c r="BJ120" s="817" t="s">
        <v>913</v>
      </c>
      <c r="BK120" s="817" t="s">
        <v>309</v>
      </c>
      <c r="BL120" s="815" t="s">
        <v>2</v>
      </c>
      <c r="BM120" s="821">
        <v>158423.41961976001</v>
      </c>
      <c r="BN120" s="815" t="s">
        <v>740</v>
      </c>
      <c r="BO120" s="821"/>
      <c r="BP120" s="822">
        <v>37434</v>
      </c>
      <c r="BQ120" s="822">
        <v>46539</v>
      </c>
      <c r="BR120" s="821">
        <v>0</v>
      </c>
      <c r="BS120" s="821">
        <v>77</v>
      </c>
      <c r="BT120" s="821">
        <v>0</v>
      </c>
    </row>
    <row r="121" spans="1:72" s="802" customFormat="1" ht="18.2" customHeight="1" x14ac:dyDescent="0.15">
      <c r="A121" s="805">
        <v>119</v>
      </c>
      <c r="B121" s="806" t="s">
        <v>413</v>
      </c>
      <c r="C121" s="806" t="s">
        <v>25</v>
      </c>
      <c r="D121" s="807">
        <v>45505</v>
      </c>
      <c r="E121" s="808" t="s">
        <v>925</v>
      </c>
      <c r="F121" s="809">
        <v>4</v>
      </c>
      <c r="G121" s="809">
        <v>6</v>
      </c>
      <c r="H121" s="810">
        <v>27865.84</v>
      </c>
      <c r="I121" s="810">
        <v>3524.42</v>
      </c>
      <c r="J121" s="810">
        <v>0</v>
      </c>
      <c r="K121" s="810">
        <v>31390.26</v>
      </c>
      <c r="L121" s="810">
        <v>720.75</v>
      </c>
      <c r="M121" s="810">
        <v>0</v>
      </c>
      <c r="N121" s="810">
        <v>0</v>
      </c>
      <c r="O121" s="810">
        <v>1089.3800000000001</v>
      </c>
      <c r="P121" s="810">
        <v>160.69999999999999</v>
      </c>
      <c r="Q121" s="810">
        <v>0</v>
      </c>
      <c r="R121" s="810">
        <v>0</v>
      </c>
      <c r="S121" s="810">
        <v>30145.47</v>
      </c>
      <c r="T121" s="810">
        <v>1311.83</v>
      </c>
      <c r="U121" s="810">
        <v>235.01</v>
      </c>
      <c r="V121" s="810">
        <v>0</v>
      </c>
      <c r="W121" s="810">
        <v>824.18</v>
      </c>
      <c r="X121" s="810">
        <v>0</v>
      </c>
      <c r="Y121" s="810">
        <v>0</v>
      </c>
      <c r="Z121" s="810">
        <v>0</v>
      </c>
      <c r="AA121" s="810">
        <v>722.66</v>
      </c>
      <c r="AB121" s="810">
        <v>0</v>
      </c>
      <c r="AC121" s="810">
        <v>0</v>
      </c>
      <c r="AD121" s="810">
        <v>0</v>
      </c>
      <c r="AE121" s="810">
        <v>0</v>
      </c>
      <c r="AF121" s="810">
        <v>0</v>
      </c>
      <c r="AG121" s="810">
        <v>0</v>
      </c>
      <c r="AH121" s="810">
        <v>0</v>
      </c>
      <c r="AI121" s="810">
        <v>0</v>
      </c>
      <c r="AJ121" s="810">
        <v>277.88</v>
      </c>
      <c r="AK121" s="810">
        <v>0</v>
      </c>
      <c r="AL121" s="810">
        <v>0</v>
      </c>
      <c r="AM121" s="810">
        <v>56.76</v>
      </c>
      <c r="AN121" s="810">
        <v>0</v>
      </c>
      <c r="AO121" s="810">
        <v>116.1</v>
      </c>
      <c r="AP121" s="810">
        <v>132.84</v>
      </c>
      <c r="AQ121" s="810">
        <v>0</v>
      </c>
      <c r="AR121" s="810">
        <v>0</v>
      </c>
      <c r="AS121" s="810">
        <v>309.136414</v>
      </c>
      <c r="AT121" s="810">
        <v>0</v>
      </c>
      <c r="AU121" s="810">
        <f t="shared" si="1"/>
        <v>2348.7035860000001</v>
      </c>
      <c r="AV121" s="810">
        <v>2380.61</v>
      </c>
      <c r="AW121" s="810">
        <v>722.66</v>
      </c>
      <c r="AX121" s="811">
        <v>35</v>
      </c>
      <c r="AY121" s="811">
        <v>300</v>
      </c>
      <c r="AZ121" s="810">
        <v>380922.42</v>
      </c>
      <c r="BA121" s="810">
        <v>106000</v>
      </c>
      <c r="BB121" s="812">
        <v>87.55</v>
      </c>
      <c r="BC121" s="812">
        <v>24.898451872641498</v>
      </c>
      <c r="BD121" s="812">
        <v>9.9</v>
      </c>
      <c r="BE121" s="812"/>
      <c r="BF121" s="808" t="s">
        <v>815</v>
      </c>
      <c r="BG121" s="805"/>
      <c r="BH121" s="808" t="s">
        <v>823</v>
      </c>
      <c r="BI121" s="808" t="s">
        <v>920</v>
      </c>
      <c r="BJ121" s="808"/>
      <c r="BK121" s="808" t="s">
        <v>828</v>
      </c>
      <c r="BL121" s="806" t="s">
        <v>2</v>
      </c>
      <c r="BM121" s="812">
        <v>247444.38780167999</v>
      </c>
      <c r="BN121" s="806" t="s">
        <v>740</v>
      </c>
      <c r="BO121" s="812"/>
      <c r="BP121" s="813">
        <v>37481</v>
      </c>
      <c r="BQ121" s="813">
        <v>46600</v>
      </c>
      <c r="BR121" s="812">
        <v>1168.47</v>
      </c>
      <c r="BS121" s="812">
        <v>138.94</v>
      </c>
      <c r="BT121" s="812">
        <v>28.38</v>
      </c>
    </row>
    <row r="122" spans="1:72" s="802" customFormat="1" ht="18.2" customHeight="1" x14ac:dyDescent="0.15">
      <c r="A122" s="814">
        <v>120</v>
      </c>
      <c r="B122" s="815" t="s">
        <v>413</v>
      </c>
      <c r="C122" s="815" t="s">
        <v>25</v>
      </c>
      <c r="D122" s="816">
        <v>45505</v>
      </c>
      <c r="E122" s="817" t="s">
        <v>590</v>
      </c>
      <c r="F122" s="818">
        <v>8</v>
      </c>
      <c r="G122" s="818">
        <v>10</v>
      </c>
      <c r="H122" s="819">
        <v>25015.360000000001</v>
      </c>
      <c r="I122" s="819">
        <v>5628.32</v>
      </c>
      <c r="J122" s="819">
        <v>0</v>
      </c>
      <c r="K122" s="819">
        <v>30643.68</v>
      </c>
      <c r="L122" s="819">
        <v>592.79</v>
      </c>
      <c r="M122" s="819">
        <v>0</v>
      </c>
      <c r="N122" s="819">
        <v>0</v>
      </c>
      <c r="O122" s="819">
        <v>1105.6099999999999</v>
      </c>
      <c r="P122" s="819">
        <v>0</v>
      </c>
      <c r="Q122" s="819">
        <v>0</v>
      </c>
      <c r="R122" s="819">
        <v>0</v>
      </c>
      <c r="S122" s="819">
        <v>29542.41</v>
      </c>
      <c r="T122" s="819">
        <v>2143.65</v>
      </c>
      <c r="U122" s="819">
        <v>210.59</v>
      </c>
      <c r="V122" s="819">
        <v>0</v>
      </c>
      <c r="W122" s="819">
        <v>535.88</v>
      </c>
      <c r="X122" s="819">
        <v>0</v>
      </c>
      <c r="Y122" s="819">
        <v>0</v>
      </c>
      <c r="Z122" s="819">
        <v>0</v>
      </c>
      <c r="AA122" s="819">
        <v>1818.36</v>
      </c>
      <c r="AB122" s="819">
        <v>0</v>
      </c>
      <c r="AC122" s="819">
        <v>0</v>
      </c>
      <c r="AD122" s="819">
        <v>0</v>
      </c>
      <c r="AE122" s="819">
        <v>0</v>
      </c>
      <c r="AF122" s="819">
        <v>0</v>
      </c>
      <c r="AG122" s="819">
        <v>0</v>
      </c>
      <c r="AH122" s="819">
        <v>0</v>
      </c>
      <c r="AI122" s="819">
        <v>0</v>
      </c>
      <c r="AJ122" s="819">
        <v>116.78</v>
      </c>
      <c r="AK122" s="819">
        <v>0</v>
      </c>
      <c r="AL122" s="819">
        <v>0</v>
      </c>
      <c r="AM122" s="819">
        <v>59.24</v>
      </c>
      <c r="AN122" s="819">
        <v>0</v>
      </c>
      <c r="AO122" s="819">
        <v>89.37</v>
      </c>
      <c r="AP122" s="819">
        <v>112.14</v>
      </c>
      <c r="AQ122" s="819">
        <v>0</v>
      </c>
      <c r="AR122" s="819">
        <v>0</v>
      </c>
      <c r="AS122" s="819">
        <v>131.48728500000001</v>
      </c>
      <c r="AT122" s="819">
        <v>0</v>
      </c>
      <c r="AU122" s="819">
        <f t="shared" si="1"/>
        <v>1887.5327150000001</v>
      </c>
      <c r="AV122" s="819">
        <v>4608.68</v>
      </c>
      <c r="AW122" s="819">
        <v>1818.36</v>
      </c>
      <c r="AX122" s="820">
        <v>35</v>
      </c>
      <c r="AY122" s="820">
        <v>300</v>
      </c>
      <c r="AZ122" s="819">
        <v>311950.68</v>
      </c>
      <c r="BA122" s="819">
        <v>89100</v>
      </c>
      <c r="BB122" s="821">
        <v>90</v>
      </c>
      <c r="BC122" s="821">
        <v>29.8408181818182</v>
      </c>
      <c r="BD122" s="821">
        <v>9.9</v>
      </c>
      <c r="BE122" s="821"/>
      <c r="BF122" s="817" t="s">
        <v>815</v>
      </c>
      <c r="BG122" s="814"/>
      <c r="BH122" s="817" t="s">
        <v>540</v>
      </c>
      <c r="BI122" s="817" t="s">
        <v>818</v>
      </c>
      <c r="BJ122" s="817"/>
      <c r="BK122" s="817" t="s">
        <v>338</v>
      </c>
      <c r="BL122" s="815" t="s">
        <v>2</v>
      </c>
      <c r="BM122" s="821">
        <v>242494.26386904001</v>
      </c>
      <c r="BN122" s="815" t="s">
        <v>740</v>
      </c>
      <c r="BO122" s="821"/>
      <c r="BP122" s="822">
        <v>37495</v>
      </c>
      <c r="BQ122" s="822">
        <v>46600</v>
      </c>
      <c r="BR122" s="821">
        <v>2127.21</v>
      </c>
      <c r="BS122" s="821">
        <v>116.78</v>
      </c>
      <c r="BT122" s="821">
        <v>28.31</v>
      </c>
    </row>
    <row r="123" spans="1:72" s="802" customFormat="1" ht="18.2" customHeight="1" x14ac:dyDescent="0.15">
      <c r="A123" s="805">
        <v>121</v>
      </c>
      <c r="B123" s="806" t="s">
        <v>413</v>
      </c>
      <c r="C123" s="806" t="s">
        <v>25</v>
      </c>
      <c r="D123" s="807">
        <v>45505</v>
      </c>
      <c r="E123" s="808" t="s">
        <v>591</v>
      </c>
      <c r="F123" s="809">
        <v>124</v>
      </c>
      <c r="G123" s="809">
        <v>123</v>
      </c>
      <c r="H123" s="810">
        <v>55297.82</v>
      </c>
      <c r="I123" s="810">
        <v>28100.17</v>
      </c>
      <c r="J123" s="810">
        <v>0</v>
      </c>
      <c r="K123" s="810">
        <v>83397.990000000005</v>
      </c>
      <c r="L123" s="810">
        <v>369.28</v>
      </c>
      <c r="M123" s="810">
        <v>0</v>
      </c>
      <c r="N123" s="810">
        <v>0</v>
      </c>
      <c r="O123" s="810">
        <v>0</v>
      </c>
      <c r="P123" s="810">
        <v>0</v>
      </c>
      <c r="Q123" s="810">
        <v>0</v>
      </c>
      <c r="R123" s="810">
        <v>0</v>
      </c>
      <c r="S123" s="810">
        <v>83397.990000000005</v>
      </c>
      <c r="T123" s="810">
        <v>75129.72</v>
      </c>
      <c r="U123" s="810">
        <v>470.01</v>
      </c>
      <c r="V123" s="810">
        <v>0</v>
      </c>
      <c r="W123" s="810">
        <v>0</v>
      </c>
      <c r="X123" s="810">
        <v>0</v>
      </c>
      <c r="Y123" s="810">
        <v>0</v>
      </c>
      <c r="Z123" s="810">
        <v>0</v>
      </c>
      <c r="AA123" s="810">
        <v>75599.73</v>
      </c>
      <c r="AB123" s="810">
        <v>0</v>
      </c>
      <c r="AC123" s="810">
        <v>0</v>
      </c>
      <c r="AD123" s="810">
        <v>0</v>
      </c>
      <c r="AE123" s="810">
        <v>0</v>
      </c>
      <c r="AF123" s="810">
        <v>0</v>
      </c>
      <c r="AG123" s="810">
        <v>0</v>
      </c>
      <c r="AH123" s="810">
        <v>0</v>
      </c>
      <c r="AI123" s="810">
        <v>0</v>
      </c>
      <c r="AJ123" s="810">
        <v>0</v>
      </c>
      <c r="AK123" s="810">
        <v>0</v>
      </c>
      <c r="AL123" s="810">
        <v>0</v>
      </c>
      <c r="AM123" s="810">
        <v>0</v>
      </c>
      <c r="AN123" s="810">
        <v>0</v>
      </c>
      <c r="AO123" s="810">
        <v>0</v>
      </c>
      <c r="AP123" s="810">
        <v>0</v>
      </c>
      <c r="AQ123" s="810">
        <v>0</v>
      </c>
      <c r="AR123" s="810">
        <v>0</v>
      </c>
      <c r="AS123" s="810">
        <v>0</v>
      </c>
      <c r="AT123" s="810">
        <v>0</v>
      </c>
      <c r="AU123" s="810">
        <f t="shared" si="1"/>
        <v>0</v>
      </c>
      <c r="AV123" s="810">
        <v>28469.45</v>
      </c>
      <c r="AW123" s="810">
        <v>75599.73</v>
      </c>
      <c r="AX123" s="811">
        <v>95</v>
      </c>
      <c r="AY123" s="811">
        <v>360</v>
      </c>
      <c r="AZ123" s="810">
        <v>329433.84999999998</v>
      </c>
      <c r="BA123" s="810">
        <v>94050</v>
      </c>
      <c r="BB123" s="812">
        <v>90</v>
      </c>
      <c r="BC123" s="812">
        <v>79.806688995215296</v>
      </c>
      <c r="BD123" s="812">
        <v>10.199999999999999</v>
      </c>
      <c r="BE123" s="812"/>
      <c r="BF123" s="808" t="s">
        <v>815</v>
      </c>
      <c r="BG123" s="805"/>
      <c r="BH123" s="808" t="s">
        <v>905</v>
      </c>
      <c r="BI123" s="808" t="s">
        <v>926</v>
      </c>
      <c r="BJ123" s="808"/>
      <c r="BK123" s="808" t="s">
        <v>338</v>
      </c>
      <c r="BL123" s="806" t="s">
        <v>2</v>
      </c>
      <c r="BM123" s="812">
        <v>684559.39082855999</v>
      </c>
      <c r="BN123" s="806" t="s">
        <v>740</v>
      </c>
      <c r="BO123" s="812"/>
      <c r="BP123" s="813">
        <v>37498</v>
      </c>
      <c r="BQ123" s="813">
        <v>48427</v>
      </c>
      <c r="BR123" s="812">
        <v>40505.5</v>
      </c>
      <c r="BS123" s="812">
        <v>100</v>
      </c>
      <c r="BT123" s="812">
        <v>28.32</v>
      </c>
    </row>
    <row r="124" spans="1:72" s="802" customFormat="1" ht="18.2" customHeight="1" x14ac:dyDescent="0.15">
      <c r="A124" s="814">
        <v>122</v>
      </c>
      <c r="B124" s="815" t="s">
        <v>413</v>
      </c>
      <c r="C124" s="815" t="s">
        <v>25</v>
      </c>
      <c r="D124" s="816">
        <v>45505</v>
      </c>
      <c r="E124" s="817" t="s">
        <v>927</v>
      </c>
      <c r="F124" s="818">
        <v>1</v>
      </c>
      <c r="G124" s="818">
        <v>1</v>
      </c>
      <c r="H124" s="819">
        <v>19765.8</v>
      </c>
      <c r="I124" s="819">
        <v>448.04</v>
      </c>
      <c r="J124" s="819">
        <v>0</v>
      </c>
      <c r="K124" s="819">
        <v>20213.84</v>
      </c>
      <c r="L124" s="819">
        <v>451.7</v>
      </c>
      <c r="M124" s="819">
        <v>0</v>
      </c>
      <c r="N124" s="819">
        <v>0</v>
      </c>
      <c r="O124" s="819">
        <v>451.31</v>
      </c>
      <c r="P124" s="819">
        <v>0</v>
      </c>
      <c r="Q124" s="819">
        <v>0</v>
      </c>
      <c r="R124" s="819">
        <v>0</v>
      </c>
      <c r="S124" s="819">
        <v>19762.52</v>
      </c>
      <c r="T124" s="819">
        <v>164.72</v>
      </c>
      <c r="U124" s="819">
        <v>161.06</v>
      </c>
      <c r="V124" s="819">
        <v>0</v>
      </c>
      <c r="W124" s="819">
        <v>164.72</v>
      </c>
      <c r="X124" s="819">
        <v>0</v>
      </c>
      <c r="Y124" s="819">
        <v>0</v>
      </c>
      <c r="Z124" s="819">
        <v>0</v>
      </c>
      <c r="AA124" s="819">
        <v>161.06</v>
      </c>
      <c r="AB124" s="819">
        <v>0</v>
      </c>
      <c r="AC124" s="819">
        <v>0</v>
      </c>
      <c r="AD124" s="819">
        <v>0</v>
      </c>
      <c r="AE124" s="819">
        <v>0</v>
      </c>
      <c r="AF124" s="819">
        <v>0</v>
      </c>
      <c r="AG124" s="819">
        <v>0</v>
      </c>
      <c r="AH124" s="819">
        <v>0</v>
      </c>
      <c r="AI124" s="819">
        <v>0.1</v>
      </c>
      <c r="AJ124" s="819">
        <v>100</v>
      </c>
      <c r="AK124" s="819">
        <v>0</v>
      </c>
      <c r="AL124" s="819">
        <v>0</v>
      </c>
      <c r="AM124" s="819">
        <v>0</v>
      </c>
      <c r="AN124" s="819">
        <v>0</v>
      </c>
      <c r="AO124" s="819">
        <v>37.78</v>
      </c>
      <c r="AP124" s="819">
        <v>42.93</v>
      </c>
      <c r="AQ124" s="819">
        <v>0</v>
      </c>
      <c r="AR124" s="819">
        <v>0</v>
      </c>
      <c r="AS124" s="819">
        <v>4.8729999999999997E-3</v>
      </c>
      <c r="AT124" s="819">
        <v>0</v>
      </c>
      <c r="AU124" s="819">
        <f t="shared" si="1"/>
        <v>796.83512699999994</v>
      </c>
      <c r="AV124" s="819">
        <v>451.7</v>
      </c>
      <c r="AW124" s="819">
        <v>161.06</v>
      </c>
      <c r="AX124" s="820">
        <v>36</v>
      </c>
      <c r="AY124" s="820">
        <v>300</v>
      </c>
      <c r="AZ124" s="819">
        <v>310031.53000000003</v>
      </c>
      <c r="BA124" s="819">
        <v>68600</v>
      </c>
      <c r="BB124" s="821">
        <v>70</v>
      </c>
      <c r="BC124" s="821">
        <v>20.165836734693901</v>
      </c>
      <c r="BD124" s="821">
        <v>9.7799999999999994</v>
      </c>
      <c r="BE124" s="821"/>
      <c r="BF124" s="817" t="s">
        <v>815</v>
      </c>
      <c r="BG124" s="814"/>
      <c r="BH124" s="817" t="s">
        <v>540</v>
      </c>
      <c r="BI124" s="817" t="s">
        <v>840</v>
      </c>
      <c r="BJ124" s="817" t="s">
        <v>928</v>
      </c>
      <c r="BK124" s="817" t="s">
        <v>828</v>
      </c>
      <c r="BL124" s="815" t="s">
        <v>2</v>
      </c>
      <c r="BM124" s="821">
        <v>162217.56246687999</v>
      </c>
      <c r="BN124" s="815" t="s">
        <v>740</v>
      </c>
      <c r="BO124" s="821"/>
      <c r="BP124" s="822">
        <v>37526</v>
      </c>
      <c r="BQ124" s="822">
        <v>46631</v>
      </c>
      <c r="BR124" s="821">
        <v>180.7</v>
      </c>
      <c r="BS124" s="821">
        <v>100</v>
      </c>
      <c r="BT124" s="821">
        <v>28.19</v>
      </c>
    </row>
    <row r="125" spans="1:72" s="802" customFormat="1" ht="18.2" customHeight="1" x14ac:dyDescent="0.15">
      <c r="A125" s="805">
        <v>123</v>
      </c>
      <c r="B125" s="806" t="s">
        <v>413</v>
      </c>
      <c r="C125" s="806" t="s">
        <v>25</v>
      </c>
      <c r="D125" s="807">
        <v>45505</v>
      </c>
      <c r="E125" s="808" t="s">
        <v>929</v>
      </c>
      <c r="F125" s="809">
        <v>3</v>
      </c>
      <c r="G125" s="809">
        <v>3</v>
      </c>
      <c r="H125" s="810">
        <v>18940.009999999998</v>
      </c>
      <c r="I125" s="810">
        <v>2655.65</v>
      </c>
      <c r="J125" s="810">
        <v>0</v>
      </c>
      <c r="K125" s="810">
        <v>21595.66</v>
      </c>
      <c r="L125" s="810">
        <v>908.91</v>
      </c>
      <c r="M125" s="810">
        <v>0</v>
      </c>
      <c r="N125" s="810">
        <v>0</v>
      </c>
      <c r="O125" s="810">
        <v>1344.51</v>
      </c>
      <c r="P125" s="810">
        <v>0</v>
      </c>
      <c r="Q125" s="810">
        <v>0</v>
      </c>
      <c r="R125" s="810">
        <v>0</v>
      </c>
      <c r="S125" s="810">
        <v>20251.150000000001</v>
      </c>
      <c r="T125" s="810">
        <v>335.1</v>
      </c>
      <c r="U125" s="810">
        <v>156.41</v>
      </c>
      <c r="V125" s="810">
        <v>0</v>
      </c>
      <c r="W125" s="810">
        <v>171.24</v>
      </c>
      <c r="X125" s="810">
        <v>0</v>
      </c>
      <c r="Y125" s="810">
        <v>0</v>
      </c>
      <c r="Z125" s="810">
        <v>0</v>
      </c>
      <c r="AA125" s="810">
        <v>320.27</v>
      </c>
      <c r="AB125" s="810">
        <v>0</v>
      </c>
      <c r="AC125" s="810">
        <v>0</v>
      </c>
      <c r="AD125" s="810">
        <v>0</v>
      </c>
      <c r="AE125" s="810">
        <v>0</v>
      </c>
      <c r="AF125" s="810">
        <v>0</v>
      </c>
      <c r="AG125" s="810">
        <v>0</v>
      </c>
      <c r="AH125" s="810">
        <v>0</v>
      </c>
      <c r="AI125" s="810">
        <v>0</v>
      </c>
      <c r="AJ125" s="810">
        <v>153.91999999999999</v>
      </c>
      <c r="AK125" s="810">
        <v>0</v>
      </c>
      <c r="AL125" s="810">
        <v>0</v>
      </c>
      <c r="AM125" s="810">
        <v>28.16</v>
      </c>
      <c r="AN125" s="810">
        <v>0</v>
      </c>
      <c r="AO125" s="810">
        <v>64.650000000000006</v>
      </c>
      <c r="AP125" s="810">
        <v>74.099999999999994</v>
      </c>
      <c r="AQ125" s="810">
        <v>0</v>
      </c>
      <c r="AR125" s="810">
        <v>0</v>
      </c>
      <c r="AS125" s="810">
        <v>2.4369999999999999E-3</v>
      </c>
      <c r="AT125" s="810">
        <v>0</v>
      </c>
      <c r="AU125" s="810">
        <f t="shared" si="1"/>
        <v>1836.5775629999998</v>
      </c>
      <c r="AV125" s="810">
        <v>2220.0500000000002</v>
      </c>
      <c r="AW125" s="810">
        <v>320.27</v>
      </c>
      <c r="AX125" s="811">
        <v>18</v>
      </c>
      <c r="AY125" s="811">
        <v>300</v>
      </c>
      <c r="AZ125" s="810">
        <v>415946</v>
      </c>
      <c r="BA125" s="810">
        <v>118059</v>
      </c>
      <c r="BB125" s="812">
        <v>90</v>
      </c>
      <c r="BC125" s="812">
        <v>15.4380733362133</v>
      </c>
      <c r="BD125" s="812">
        <v>9.91</v>
      </c>
      <c r="BE125" s="812"/>
      <c r="BF125" s="808" t="s">
        <v>815</v>
      </c>
      <c r="BG125" s="805"/>
      <c r="BH125" s="808" t="s">
        <v>823</v>
      </c>
      <c r="BI125" s="808" t="s">
        <v>873</v>
      </c>
      <c r="BJ125" s="808"/>
      <c r="BK125" s="808" t="s">
        <v>828</v>
      </c>
      <c r="BL125" s="806" t="s">
        <v>2</v>
      </c>
      <c r="BM125" s="812">
        <v>166228.40559559999</v>
      </c>
      <c r="BN125" s="806" t="s">
        <v>740</v>
      </c>
      <c r="BO125" s="812"/>
      <c r="BP125" s="813">
        <v>37533</v>
      </c>
      <c r="BQ125" s="813">
        <v>46660</v>
      </c>
      <c r="BR125" s="812">
        <v>641.66</v>
      </c>
      <c r="BS125" s="812">
        <v>153.91999999999999</v>
      </c>
      <c r="BT125" s="812">
        <v>28.16</v>
      </c>
    </row>
    <row r="126" spans="1:72" s="802" customFormat="1" ht="18.2" customHeight="1" x14ac:dyDescent="0.15">
      <c r="A126" s="814">
        <v>124</v>
      </c>
      <c r="B126" s="815" t="s">
        <v>413</v>
      </c>
      <c r="C126" s="815" t="s">
        <v>25</v>
      </c>
      <c r="D126" s="816">
        <v>45505</v>
      </c>
      <c r="E126" s="817" t="s">
        <v>930</v>
      </c>
      <c r="F126" s="818">
        <v>4</v>
      </c>
      <c r="G126" s="818">
        <v>3</v>
      </c>
      <c r="H126" s="819">
        <v>21335.01</v>
      </c>
      <c r="I126" s="819">
        <v>1375.13</v>
      </c>
      <c r="J126" s="819">
        <v>0</v>
      </c>
      <c r="K126" s="819">
        <v>22710.14</v>
      </c>
      <c r="L126" s="819">
        <v>465.97</v>
      </c>
      <c r="M126" s="819">
        <v>0</v>
      </c>
      <c r="N126" s="819">
        <v>0</v>
      </c>
      <c r="O126" s="819">
        <v>0</v>
      </c>
      <c r="P126" s="819">
        <v>0</v>
      </c>
      <c r="Q126" s="819">
        <v>0</v>
      </c>
      <c r="R126" s="819">
        <v>0</v>
      </c>
      <c r="S126" s="819">
        <v>22710.14</v>
      </c>
      <c r="T126" s="819">
        <v>551.35</v>
      </c>
      <c r="U126" s="819">
        <v>176.19</v>
      </c>
      <c r="V126" s="819">
        <v>0</v>
      </c>
      <c r="W126" s="819">
        <v>0</v>
      </c>
      <c r="X126" s="819">
        <v>0</v>
      </c>
      <c r="Y126" s="819">
        <v>0</v>
      </c>
      <c r="Z126" s="819">
        <v>0</v>
      </c>
      <c r="AA126" s="819">
        <v>727.54</v>
      </c>
      <c r="AB126" s="819">
        <v>0</v>
      </c>
      <c r="AC126" s="819">
        <v>0</v>
      </c>
      <c r="AD126" s="819">
        <v>0</v>
      </c>
      <c r="AE126" s="819">
        <v>0</v>
      </c>
      <c r="AF126" s="819">
        <v>0</v>
      </c>
      <c r="AG126" s="819">
        <v>0</v>
      </c>
      <c r="AH126" s="819">
        <v>0</v>
      </c>
      <c r="AI126" s="819">
        <v>0</v>
      </c>
      <c r="AJ126" s="819">
        <v>0</v>
      </c>
      <c r="AK126" s="819">
        <v>0</v>
      </c>
      <c r="AL126" s="819">
        <v>0</v>
      </c>
      <c r="AM126" s="819">
        <v>0</v>
      </c>
      <c r="AN126" s="819">
        <v>0</v>
      </c>
      <c r="AO126" s="819">
        <v>0</v>
      </c>
      <c r="AP126" s="819">
        <v>0</v>
      </c>
      <c r="AQ126" s="819">
        <v>0</v>
      </c>
      <c r="AR126" s="819">
        <v>0</v>
      </c>
      <c r="AS126" s="819">
        <v>0</v>
      </c>
      <c r="AT126" s="819">
        <v>0</v>
      </c>
      <c r="AU126" s="819">
        <f t="shared" si="1"/>
        <v>0</v>
      </c>
      <c r="AV126" s="819">
        <v>1841.1</v>
      </c>
      <c r="AW126" s="819">
        <v>727.54</v>
      </c>
      <c r="AX126" s="820">
        <v>37</v>
      </c>
      <c r="AY126" s="820">
        <v>300</v>
      </c>
      <c r="AZ126" s="819">
        <v>251350</v>
      </c>
      <c r="BA126" s="819">
        <v>71164</v>
      </c>
      <c r="BB126" s="821">
        <v>90</v>
      </c>
      <c r="BC126" s="821">
        <v>28.721159575066</v>
      </c>
      <c r="BD126" s="821">
        <v>9.91</v>
      </c>
      <c r="BE126" s="821"/>
      <c r="BF126" s="817" t="s">
        <v>815</v>
      </c>
      <c r="BG126" s="814"/>
      <c r="BH126" s="817" t="s">
        <v>823</v>
      </c>
      <c r="BI126" s="817" t="s">
        <v>824</v>
      </c>
      <c r="BJ126" s="817" t="s">
        <v>853</v>
      </c>
      <c r="BK126" s="817" t="s">
        <v>828</v>
      </c>
      <c r="BL126" s="815" t="s">
        <v>2</v>
      </c>
      <c r="BM126" s="821">
        <v>186412.64140816001</v>
      </c>
      <c r="BN126" s="815" t="s">
        <v>740</v>
      </c>
      <c r="BO126" s="821"/>
      <c r="BP126" s="822">
        <v>37547</v>
      </c>
      <c r="BQ126" s="822">
        <v>46660</v>
      </c>
      <c r="BR126" s="821">
        <v>820.84</v>
      </c>
      <c r="BS126" s="821">
        <v>100</v>
      </c>
      <c r="BT126" s="821">
        <v>28.08</v>
      </c>
    </row>
    <row r="127" spans="1:72" s="802" customFormat="1" ht="18.2" customHeight="1" x14ac:dyDescent="0.15">
      <c r="A127" s="805">
        <v>125</v>
      </c>
      <c r="B127" s="806" t="s">
        <v>413</v>
      </c>
      <c r="C127" s="806" t="s">
        <v>25</v>
      </c>
      <c r="D127" s="807">
        <v>45505</v>
      </c>
      <c r="E127" s="808" t="s">
        <v>592</v>
      </c>
      <c r="F127" s="809">
        <v>222</v>
      </c>
      <c r="G127" s="809">
        <v>221</v>
      </c>
      <c r="H127" s="810">
        <v>25488.799999999999</v>
      </c>
      <c r="I127" s="810">
        <v>56378.55</v>
      </c>
      <c r="J127" s="810">
        <v>0</v>
      </c>
      <c r="K127" s="810">
        <v>81867.350000000006</v>
      </c>
      <c r="L127" s="810">
        <v>556.54999999999995</v>
      </c>
      <c r="M127" s="810">
        <v>0</v>
      </c>
      <c r="N127" s="810">
        <v>0</v>
      </c>
      <c r="O127" s="810">
        <v>0</v>
      </c>
      <c r="P127" s="810">
        <v>0</v>
      </c>
      <c r="Q127" s="810">
        <v>0</v>
      </c>
      <c r="R127" s="810">
        <v>0</v>
      </c>
      <c r="S127" s="810">
        <v>81867.350000000006</v>
      </c>
      <c r="T127" s="810">
        <v>112389.89</v>
      </c>
      <c r="U127" s="810">
        <v>210.46</v>
      </c>
      <c r="V127" s="810">
        <v>0</v>
      </c>
      <c r="W127" s="810">
        <v>0</v>
      </c>
      <c r="X127" s="810">
        <v>0</v>
      </c>
      <c r="Y127" s="810">
        <v>0</v>
      </c>
      <c r="Z127" s="810">
        <v>0</v>
      </c>
      <c r="AA127" s="810">
        <v>112600.35</v>
      </c>
      <c r="AB127" s="810">
        <v>0</v>
      </c>
      <c r="AC127" s="810">
        <v>0</v>
      </c>
      <c r="AD127" s="810">
        <v>0</v>
      </c>
      <c r="AE127" s="810">
        <v>0</v>
      </c>
      <c r="AF127" s="810">
        <v>0</v>
      </c>
      <c r="AG127" s="810">
        <v>0</v>
      </c>
      <c r="AH127" s="810">
        <v>0</v>
      </c>
      <c r="AI127" s="810">
        <v>0</v>
      </c>
      <c r="AJ127" s="810">
        <v>0</v>
      </c>
      <c r="AK127" s="810">
        <v>0</v>
      </c>
      <c r="AL127" s="810">
        <v>0</v>
      </c>
      <c r="AM127" s="810">
        <v>0</v>
      </c>
      <c r="AN127" s="810">
        <v>0</v>
      </c>
      <c r="AO127" s="810">
        <v>0</v>
      </c>
      <c r="AP127" s="810">
        <v>0</v>
      </c>
      <c r="AQ127" s="810">
        <v>0</v>
      </c>
      <c r="AR127" s="810">
        <v>0</v>
      </c>
      <c r="AS127" s="810">
        <v>0</v>
      </c>
      <c r="AT127" s="810">
        <v>0</v>
      </c>
      <c r="AU127" s="810">
        <f t="shared" si="1"/>
        <v>0</v>
      </c>
      <c r="AV127" s="810">
        <v>56935.1</v>
      </c>
      <c r="AW127" s="810">
        <v>112600.35</v>
      </c>
      <c r="AX127" s="811">
        <v>38</v>
      </c>
      <c r="AY127" s="811">
        <v>300</v>
      </c>
      <c r="AZ127" s="810">
        <v>311656.56</v>
      </c>
      <c r="BA127" s="810">
        <v>85000</v>
      </c>
      <c r="BB127" s="812">
        <v>86.73</v>
      </c>
      <c r="BC127" s="812">
        <v>83.5335913588235</v>
      </c>
      <c r="BD127" s="812">
        <v>9.91</v>
      </c>
      <c r="BE127" s="812"/>
      <c r="BF127" s="808" t="s">
        <v>815</v>
      </c>
      <c r="BG127" s="805"/>
      <c r="BH127" s="808" t="s">
        <v>540</v>
      </c>
      <c r="BI127" s="808" t="s">
        <v>840</v>
      </c>
      <c r="BJ127" s="808"/>
      <c r="BK127" s="808" t="s">
        <v>338</v>
      </c>
      <c r="BL127" s="806" t="s">
        <v>2</v>
      </c>
      <c r="BM127" s="812">
        <v>671995.37116840004</v>
      </c>
      <c r="BN127" s="806" t="s">
        <v>740</v>
      </c>
      <c r="BO127" s="812"/>
      <c r="BP127" s="813">
        <v>37554</v>
      </c>
      <c r="BQ127" s="813">
        <v>46660</v>
      </c>
      <c r="BR127" s="812">
        <v>56368.800000000003</v>
      </c>
      <c r="BS127" s="812">
        <v>110.81</v>
      </c>
      <c r="BT127" s="812">
        <v>28.05</v>
      </c>
    </row>
    <row r="128" spans="1:72" s="802" customFormat="1" ht="18.2" customHeight="1" x14ac:dyDescent="0.15">
      <c r="A128" s="814">
        <v>126</v>
      </c>
      <c r="B128" s="815" t="s">
        <v>413</v>
      </c>
      <c r="C128" s="815" t="s">
        <v>25</v>
      </c>
      <c r="D128" s="816">
        <v>45505</v>
      </c>
      <c r="E128" s="817" t="s">
        <v>931</v>
      </c>
      <c r="F128" s="818">
        <v>0</v>
      </c>
      <c r="G128" s="818">
        <v>0</v>
      </c>
      <c r="H128" s="819">
        <v>21545.83</v>
      </c>
      <c r="I128" s="819">
        <v>0</v>
      </c>
      <c r="J128" s="819">
        <v>0</v>
      </c>
      <c r="K128" s="819">
        <v>21545.83</v>
      </c>
      <c r="L128" s="819">
        <v>470.63</v>
      </c>
      <c r="M128" s="819">
        <v>0</v>
      </c>
      <c r="N128" s="819">
        <v>0</v>
      </c>
      <c r="O128" s="819">
        <v>0</v>
      </c>
      <c r="P128" s="819">
        <v>470.63</v>
      </c>
      <c r="Q128" s="819">
        <v>0</v>
      </c>
      <c r="R128" s="819">
        <v>0</v>
      </c>
      <c r="S128" s="819">
        <v>21075.200000000001</v>
      </c>
      <c r="T128" s="819">
        <v>0</v>
      </c>
      <c r="U128" s="819">
        <v>177.93</v>
      </c>
      <c r="V128" s="819">
        <v>0</v>
      </c>
      <c r="W128" s="819">
        <v>0</v>
      </c>
      <c r="X128" s="819">
        <v>177.93</v>
      </c>
      <c r="Y128" s="819">
        <v>0</v>
      </c>
      <c r="Z128" s="819">
        <v>0</v>
      </c>
      <c r="AA128" s="819">
        <v>0</v>
      </c>
      <c r="AB128" s="819">
        <v>100</v>
      </c>
      <c r="AC128" s="819">
        <v>0</v>
      </c>
      <c r="AD128" s="819">
        <v>0</v>
      </c>
      <c r="AE128" s="819">
        <v>0</v>
      </c>
      <c r="AF128" s="819">
        <v>0</v>
      </c>
      <c r="AG128" s="819">
        <v>0</v>
      </c>
      <c r="AH128" s="819">
        <v>39.67</v>
      </c>
      <c r="AI128" s="819">
        <v>45.26</v>
      </c>
      <c r="AJ128" s="819">
        <v>0</v>
      </c>
      <c r="AK128" s="819">
        <v>0</v>
      </c>
      <c r="AL128" s="819">
        <v>0</v>
      </c>
      <c r="AM128" s="819">
        <v>0</v>
      </c>
      <c r="AN128" s="819">
        <v>0</v>
      </c>
      <c r="AO128" s="819">
        <v>0</v>
      </c>
      <c r="AP128" s="819">
        <v>0</v>
      </c>
      <c r="AQ128" s="819">
        <v>20.175999999999998</v>
      </c>
      <c r="AR128" s="819">
        <v>0</v>
      </c>
      <c r="AS128" s="819">
        <v>0</v>
      </c>
      <c r="AT128" s="819">
        <v>0</v>
      </c>
      <c r="AU128" s="819">
        <f t="shared" si="1"/>
        <v>853.66599999999994</v>
      </c>
      <c r="AV128" s="819">
        <v>0</v>
      </c>
      <c r="AW128" s="819">
        <v>0</v>
      </c>
      <c r="AX128" s="820">
        <v>37</v>
      </c>
      <c r="AY128" s="820">
        <v>300</v>
      </c>
      <c r="AZ128" s="819">
        <v>253950</v>
      </c>
      <c r="BA128" s="819">
        <v>71873</v>
      </c>
      <c r="BB128" s="821">
        <v>90</v>
      </c>
      <c r="BC128" s="821">
        <v>26.390549997912998</v>
      </c>
      <c r="BD128" s="821">
        <v>9.91</v>
      </c>
      <c r="BE128" s="821"/>
      <c r="BF128" s="817" t="s">
        <v>815</v>
      </c>
      <c r="BG128" s="814"/>
      <c r="BH128" s="817" t="s">
        <v>823</v>
      </c>
      <c r="BI128" s="817" t="s">
        <v>824</v>
      </c>
      <c r="BJ128" s="817" t="s">
        <v>853</v>
      </c>
      <c r="BK128" s="817" t="s">
        <v>309</v>
      </c>
      <c r="BL128" s="815" t="s">
        <v>2</v>
      </c>
      <c r="BM128" s="821">
        <v>172992.4914688</v>
      </c>
      <c r="BN128" s="815" t="s">
        <v>740</v>
      </c>
      <c r="BO128" s="821"/>
      <c r="BP128" s="822">
        <v>37553</v>
      </c>
      <c r="BQ128" s="822">
        <v>46660</v>
      </c>
      <c r="BR128" s="821">
        <v>0</v>
      </c>
      <c r="BS128" s="821">
        <v>100</v>
      </c>
      <c r="BT128" s="821">
        <v>0</v>
      </c>
    </row>
    <row r="129" spans="1:72" s="802" customFormat="1" ht="18.2" customHeight="1" x14ac:dyDescent="0.15">
      <c r="A129" s="805">
        <v>127</v>
      </c>
      <c r="B129" s="806" t="s">
        <v>413</v>
      </c>
      <c r="C129" s="806" t="s">
        <v>25</v>
      </c>
      <c r="D129" s="807">
        <v>45505</v>
      </c>
      <c r="E129" s="808" t="s">
        <v>932</v>
      </c>
      <c r="F129" s="809">
        <v>0</v>
      </c>
      <c r="G129" s="809">
        <v>0</v>
      </c>
      <c r="H129" s="810">
        <v>24556.15</v>
      </c>
      <c r="I129" s="810">
        <v>0</v>
      </c>
      <c r="J129" s="810">
        <v>0</v>
      </c>
      <c r="K129" s="810">
        <v>24556.15</v>
      </c>
      <c r="L129" s="810">
        <v>521.14</v>
      </c>
      <c r="M129" s="810">
        <v>0</v>
      </c>
      <c r="N129" s="810">
        <v>0</v>
      </c>
      <c r="O129" s="810">
        <v>0</v>
      </c>
      <c r="P129" s="810">
        <v>521.14</v>
      </c>
      <c r="Q129" s="810">
        <v>0</v>
      </c>
      <c r="R129" s="810">
        <v>0</v>
      </c>
      <c r="S129" s="810">
        <v>24035.01</v>
      </c>
      <c r="T129" s="810">
        <v>0</v>
      </c>
      <c r="U129" s="810">
        <v>204.84</v>
      </c>
      <c r="V129" s="810">
        <v>0</v>
      </c>
      <c r="W129" s="810">
        <v>0</v>
      </c>
      <c r="X129" s="810">
        <v>204.84</v>
      </c>
      <c r="Y129" s="810">
        <v>0</v>
      </c>
      <c r="Z129" s="810">
        <v>0</v>
      </c>
      <c r="AA129" s="810">
        <v>0</v>
      </c>
      <c r="AB129" s="810">
        <v>77.92</v>
      </c>
      <c r="AC129" s="810">
        <v>0</v>
      </c>
      <c r="AD129" s="810">
        <v>0</v>
      </c>
      <c r="AE129" s="810">
        <v>0</v>
      </c>
      <c r="AF129" s="810">
        <v>0</v>
      </c>
      <c r="AG129" s="810">
        <v>0</v>
      </c>
      <c r="AH129" s="810">
        <v>42.69</v>
      </c>
      <c r="AI129" s="810">
        <v>50.25</v>
      </c>
      <c r="AJ129" s="810">
        <v>0</v>
      </c>
      <c r="AK129" s="810">
        <v>0</v>
      </c>
      <c r="AL129" s="810">
        <v>0</v>
      </c>
      <c r="AM129" s="810">
        <v>0</v>
      </c>
      <c r="AN129" s="810">
        <v>0</v>
      </c>
      <c r="AO129" s="810">
        <v>0</v>
      </c>
      <c r="AP129" s="810">
        <v>0</v>
      </c>
      <c r="AQ129" s="810">
        <v>2.3E-2</v>
      </c>
      <c r="AR129" s="810">
        <v>0</v>
      </c>
      <c r="AS129" s="810">
        <v>0</v>
      </c>
      <c r="AT129" s="810">
        <v>0</v>
      </c>
      <c r="AU129" s="810">
        <f t="shared" si="1"/>
        <v>896.86300000000006</v>
      </c>
      <c r="AV129" s="810">
        <v>0</v>
      </c>
      <c r="AW129" s="810">
        <v>0</v>
      </c>
      <c r="AX129" s="811">
        <v>38</v>
      </c>
      <c r="AY129" s="811">
        <v>300</v>
      </c>
      <c r="AZ129" s="810">
        <v>282737.73</v>
      </c>
      <c r="BA129" s="810">
        <v>79830</v>
      </c>
      <c r="BB129" s="812">
        <v>90</v>
      </c>
      <c r="BC129" s="812">
        <v>27.096967305524199</v>
      </c>
      <c r="BD129" s="812">
        <v>10.01</v>
      </c>
      <c r="BE129" s="812"/>
      <c r="BF129" s="808" t="s">
        <v>815</v>
      </c>
      <c r="BG129" s="805"/>
      <c r="BH129" s="808" t="s">
        <v>540</v>
      </c>
      <c r="BI129" s="808" t="s">
        <v>849</v>
      </c>
      <c r="BJ129" s="808"/>
      <c r="BK129" s="808" t="s">
        <v>309</v>
      </c>
      <c r="BL129" s="806" t="s">
        <v>2</v>
      </c>
      <c r="BM129" s="812">
        <v>197287.63012344</v>
      </c>
      <c r="BN129" s="806" t="s">
        <v>740</v>
      </c>
      <c r="BO129" s="812"/>
      <c r="BP129" s="813">
        <v>37565</v>
      </c>
      <c r="BQ129" s="813">
        <v>46692</v>
      </c>
      <c r="BR129" s="812">
        <v>0</v>
      </c>
      <c r="BS129" s="812">
        <v>77.92</v>
      </c>
      <c r="BT129" s="812">
        <v>0</v>
      </c>
    </row>
    <row r="130" spans="1:72" s="802" customFormat="1" ht="18.2" customHeight="1" x14ac:dyDescent="0.15">
      <c r="A130" s="814">
        <v>128</v>
      </c>
      <c r="B130" s="815" t="s">
        <v>413</v>
      </c>
      <c r="C130" s="815" t="s">
        <v>25</v>
      </c>
      <c r="D130" s="816">
        <v>45505</v>
      </c>
      <c r="E130" s="817" t="s">
        <v>593</v>
      </c>
      <c r="F130" s="818">
        <v>121</v>
      </c>
      <c r="G130" s="818">
        <v>120</v>
      </c>
      <c r="H130" s="819">
        <v>24607.63</v>
      </c>
      <c r="I130" s="819">
        <v>39381.019999999997</v>
      </c>
      <c r="J130" s="819">
        <v>0</v>
      </c>
      <c r="K130" s="819">
        <v>63988.65</v>
      </c>
      <c r="L130" s="819">
        <v>520.74</v>
      </c>
      <c r="M130" s="819">
        <v>0</v>
      </c>
      <c r="N130" s="819">
        <v>0</v>
      </c>
      <c r="O130" s="819">
        <v>0</v>
      </c>
      <c r="P130" s="819">
        <v>0</v>
      </c>
      <c r="Q130" s="819">
        <v>0</v>
      </c>
      <c r="R130" s="819">
        <v>0</v>
      </c>
      <c r="S130" s="819">
        <v>63988.65</v>
      </c>
      <c r="T130" s="819">
        <v>47732.72</v>
      </c>
      <c r="U130" s="819">
        <v>205.24</v>
      </c>
      <c r="V130" s="819">
        <v>0</v>
      </c>
      <c r="W130" s="819">
        <v>0</v>
      </c>
      <c r="X130" s="819">
        <v>0</v>
      </c>
      <c r="Y130" s="819">
        <v>0</v>
      </c>
      <c r="Z130" s="819">
        <v>0</v>
      </c>
      <c r="AA130" s="819">
        <v>47937.96</v>
      </c>
      <c r="AB130" s="819">
        <v>0</v>
      </c>
      <c r="AC130" s="819">
        <v>0</v>
      </c>
      <c r="AD130" s="819">
        <v>0</v>
      </c>
      <c r="AE130" s="819">
        <v>0</v>
      </c>
      <c r="AF130" s="819">
        <v>0</v>
      </c>
      <c r="AG130" s="819">
        <v>0</v>
      </c>
      <c r="AH130" s="819">
        <v>0</v>
      </c>
      <c r="AI130" s="819">
        <v>0</v>
      </c>
      <c r="AJ130" s="819">
        <v>0</v>
      </c>
      <c r="AK130" s="819">
        <v>0</v>
      </c>
      <c r="AL130" s="819">
        <v>0</v>
      </c>
      <c r="AM130" s="819">
        <v>0</v>
      </c>
      <c r="AN130" s="819">
        <v>0</v>
      </c>
      <c r="AO130" s="819">
        <v>0</v>
      </c>
      <c r="AP130" s="819">
        <v>0</v>
      </c>
      <c r="AQ130" s="819">
        <v>0</v>
      </c>
      <c r="AR130" s="819">
        <v>0</v>
      </c>
      <c r="AS130" s="819">
        <v>0</v>
      </c>
      <c r="AT130" s="819">
        <v>0</v>
      </c>
      <c r="AU130" s="819">
        <f t="shared" si="1"/>
        <v>0</v>
      </c>
      <c r="AV130" s="819">
        <v>39901.760000000002</v>
      </c>
      <c r="AW130" s="819">
        <v>47937.96</v>
      </c>
      <c r="AX130" s="820">
        <v>38</v>
      </c>
      <c r="AY130" s="820">
        <v>300</v>
      </c>
      <c r="AZ130" s="819">
        <v>282737.73</v>
      </c>
      <c r="BA130" s="819">
        <v>79830</v>
      </c>
      <c r="BB130" s="821">
        <v>90</v>
      </c>
      <c r="BC130" s="821">
        <v>72.140529875986502</v>
      </c>
      <c r="BD130" s="821">
        <v>10.01</v>
      </c>
      <c r="BE130" s="821"/>
      <c r="BF130" s="817" t="s">
        <v>815</v>
      </c>
      <c r="BG130" s="814"/>
      <c r="BH130" s="817" t="s">
        <v>540</v>
      </c>
      <c r="BI130" s="817" t="s">
        <v>849</v>
      </c>
      <c r="BJ130" s="817"/>
      <c r="BK130" s="817" t="s">
        <v>338</v>
      </c>
      <c r="BL130" s="815" t="s">
        <v>2</v>
      </c>
      <c r="BM130" s="821">
        <v>525240.85129559995</v>
      </c>
      <c r="BN130" s="815" t="s">
        <v>740</v>
      </c>
      <c r="BO130" s="821"/>
      <c r="BP130" s="822">
        <v>37565</v>
      </c>
      <c r="BQ130" s="822">
        <v>46692</v>
      </c>
      <c r="BR130" s="821">
        <v>25054.36</v>
      </c>
      <c r="BS130" s="821">
        <v>77.92</v>
      </c>
      <c r="BT130" s="821">
        <v>27.99</v>
      </c>
    </row>
    <row r="131" spans="1:72" s="802" customFormat="1" ht="18.2" customHeight="1" x14ac:dyDescent="0.15">
      <c r="A131" s="805">
        <v>129</v>
      </c>
      <c r="B131" s="806" t="s">
        <v>413</v>
      </c>
      <c r="C131" s="806" t="s">
        <v>25</v>
      </c>
      <c r="D131" s="807">
        <v>45505</v>
      </c>
      <c r="E131" s="808" t="s">
        <v>594</v>
      </c>
      <c r="F131" s="809">
        <v>168</v>
      </c>
      <c r="G131" s="809">
        <v>167</v>
      </c>
      <c r="H131" s="810">
        <v>24607.63</v>
      </c>
      <c r="I131" s="810">
        <v>46827.47</v>
      </c>
      <c r="J131" s="810">
        <v>0</v>
      </c>
      <c r="K131" s="810">
        <v>71435.100000000006</v>
      </c>
      <c r="L131" s="810">
        <v>520.74</v>
      </c>
      <c r="M131" s="810">
        <v>0</v>
      </c>
      <c r="N131" s="810">
        <v>0</v>
      </c>
      <c r="O131" s="810">
        <v>0</v>
      </c>
      <c r="P131" s="810">
        <v>0</v>
      </c>
      <c r="Q131" s="810">
        <v>0</v>
      </c>
      <c r="R131" s="810">
        <v>0</v>
      </c>
      <c r="S131" s="810">
        <v>71435.100000000006</v>
      </c>
      <c r="T131" s="810">
        <v>74407.06</v>
      </c>
      <c r="U131" s="810">
        <v>205.24</v>
      </c>
      <c r="V131" s="810">
        <v>0</v>
      </c>
      <c r="W131" s="810">
        <v>0</v>
      </c>
      <c r="X131" s="810">
        <v>0</v>
      </c>
      <c r="Y131" s="810">
        <v>0</v>
      </c>
      <c r="Z131" s="810">
        <v>0</v>
      </c>
      <c r="AA131" s="810">
        <v>74612.3</v>
      </c>
      <c r="AB131" s="810">
        <v>0</v>
      </c>
      <c r="AC131" s="810">
        <v>0</v>
      </c>
      <c r="AD131" s="810">
        <v>0</v>
      </c>
      <c r="AE131" s="810">
        <v>0</v>
      </c>
      <c r="AF131" s="810">
        <v>0</v>
      </c>
      <c r="AG131" s="810">
        <v>0</v>
      </c>
      <c r="AH131" s="810">
        <v>0</v>
      </c>
      <c r="AI131" s="810">
        <v>0</v>
      </c>
      <c r="AJ131" s="810">
        <v>0</v>
      </c>
      <c r="AK131" s="810">
        <v>0</v>
      </c>
      <c r="AL131" s="810">
        <v>0</v>
      </c>
      <c r="AM131" s="810">
        <v>0</v>
      </c>
      <c r="AN131" s="810">
        <v>0</v>
      </c>
      <c r="AO131" s="810">
        <v>0</v>
      </c>
      <c r="AP131" s="810">
        <v>0</v>
      </c>
      <c r="AQ131" s="810">
        <v>0</v>
      </c>
      <c r="AR131" s="810">
        <v>0</v>
      </c>
      <c r="AS131" s="810">
        <v>0</v>
      </c>
      <c r="AT131" s="810">
        <v>0</v>
      </c>
      <c r="AU131" s="810">
        <f t="shared" ref="AU131:AU145" si="2">SUM(AB131:AR131,W131:Y131,O131:R131)-J131-AS131-AT131</f>
        <v>0</v>
      </c>
      <c r="AV131" s="810">
        <v>47348.21</v>
      </c>
      <c r="AW131" s="810">
        <v>74612.3</v>
      </c>
      <c r="AX131" s="811">
        <v>39</v>
      </c>
      <c r="AY131" s="811">
        <v>300</v>
      </c>
      <c r="AZ131" s="810">
        <v>283119.14</v>
      </c>
      <c r="BA131" s="810">
        <v>79830</v>
      </c>
      <c r="BB131" s="812">
        <v>90</v>
      </c>
      <c r="BC131" s="812">
        <v>80.535625704622305</v>
      </c>
      <c r="BD131" s="812">
        <v>10.01</v>
      </c>
      <c r="BE131" s="812"/>
      <c r="BF131" s="808" t="s">
        <v>815</v>
      </c>
      <c r="BG131" s="805"/>
      <c r="BH131" s="808" t="s">
        <v>540</v>
      </c>
      <c r="BI131" s="808" t="s">
        <v>849</v>
      </c>
      <c r="BJ131" s="808"/>
      <c r="BK131" s="808" t="s">
        <v>338</v>
      </c>
      <c r="BL131" s="806" t="s">
        <v>2</v>
      </c>
      <c r="BM131" s="812">
        <v>586363.87447439996</v>
      </c>
      <c r="BN131" s="806" t="s">
        <v>740</v>
      </c>
      <c r="BO131" s="812"/>
      <c r="BP131" s="813">
        <v>37574</v>
      </c>
      <c r="BQ131" s="813">
        <v>46692</v>
      </c>
      <c r="BR131" s="812">
        <v>35354.04</v>
      </c>
      <c r="BS131" s="812">
        <v>77.92</v>
      </c>
      <c r="BT131" s="812">
        <v>27.94</v>
      </c>
    </row>
    <row r="132" spans="1:72" s="802" customFormat="1" ht="18.2" customHeight="1" x14ac:dyDescent="0.15">
      <c r="A132" s="814">
        <v>130</v>
      </c>
      <c r="B132" s="815" t="s">
        <v>413</v>
      </c>
      <c r="C132" s="815" t="s">
        <v>25</v>
      </c>
      <c r="D132" s="816">
        <v>45505</v>
      </c>
      <c r="E132" s="817" t="s">
        <v>595</v>
      </c>
      <c r="F132" s="818">
        <v>166</v>
      </c>
      <c r="G132" s="818">
        <v>165</v>
      </c>
      <c r="H132" s="819">
        <v>24607.63</v>
      </c>
      <c r="I132" s="819">
        <v>46566.3</v>
      </c>
      <c r="J132" s="819">
        <v>0</v>
      </c>
      <c r="K132" s="819">
        <v>71173.929999999993</v>
      </c>
      <c r="L132" s="819">
        <v>520.74</v>
      </c>
      <c r="M132" s="819">
        <v>0</v>
      </c>
      <c r="N132" s="819">
        <v>0</v>
      </c>
      <c r="O132" s="819">
        <v>0</v>
      </c>
      <c r="P132" s="819">
        <v>0</v>
      </c>
      <c r="Q132" s="819">
        <v>0</v>
      </c>
      <c r="R132" s="819">
        <v>0</v>
      </c>
      <c r="S132" s="819">
        <v>71173.929999999993</v>
      </c>
      <c r="T132" s="819">
        <v>73180.89</v>
      </c>
      <c r="U132" s="819">
        <v>205.24</v>
      </c>
      <c r="V132" s="819">
        <v>0</v>
      </c>
      <c r="W132" s="819">
        <v>0</v>
      </c>
      <c r="X132" s="819">
        <v>0</v>
      </c>
      <c r="Y132" s="819">
        <v>0</v>
      </c>
      <c r="Z132" s="819">
        <v>0</v>
      </c>
      <c r="AA132" s="819">
        <v>73386.13</v>
      </c>
      <c r="AB132" s="819">
        <v>0</v>
      </c>
      <c r="AC132" s="819">
        <v>0</v>
      </c>
      <c r="AD132" s="819">
        <v>0</v>
      </c>
      <c r="AE132" s="819">
        <v>0</v>
      </c>
      <c r="AF132" s="819">
        <v>0</v>
      </c>
      <c r="AG132" s="819">
        <v>0</v>
      </c>
      <c r="AH132" s="819">
        <v>0</v>
      </c>
      <c r="AI132" s="819">
        <v>0</v>
      </c>
      <c r="AJ132" s="819">
        <v>0</v>
      </c>
      <c r="AK132" s="819">
        <v>0</v>
      </c>
      <c r="AL132" s="819">
        <v>0</v>
      </c>
      <c r="AM132" s="819">
        <v>0</v>
      </c>
      <c r="AN132" s="819">
        <v>0</v>
      </c>
      <c r="AO132" s="819">
        <v>0</v>
      </c>
      <c r="AP132" s="819">
        <v>0</v>
      </c>
      <c r="AQ132" s="819">
        <v>0</v>
      </c>
      <c r="AR132" s="819">
        <v>0</v>
      </c>
      <c r="AS132" s="819">
        <v>0</v>
      </c>
      <c r="AT132" s="819">
        <v>0</v>
      </c>
      <c r="AU132" s="819">
        <f t="shared" si="2"/>
        <v>0</v>
      </c>
      <c r="AV132" s="819">
        <v>47087.040000000001</v>
      </c>
      <c r="AW132" s="819">
        <v>73386.13</v>
      </c>
      <c r="AX132" s="820">
        <v>38</v>
      </c>
      <c r="AY132" s="820">
        <v>300</v>
      </c>
      <c r="AZ132" s="819">
        <v>283119.14</v>
      </c>
      <c r="BA132" s="819">
        <v>79830</v>
      </c>
      <c r="BB132" s="821">
        <v>90</v>
      </c>
      <c r="BC132" s="821">
        <v>80.241183765501702</v>
      </c>
      <c r="BD132" s="821">
        <v>10.01</v>
      </c>
      <c r="BE132" s="821"/>
      <c r="BF132" s="817" t="s">
        <v>815</v>
      </c>
      <c r="BG132" s="814"/>
      <c r="BH132" s="817" t="s">
        <v>540</v>
      </c>
      <c r="BI132" s="817" t="s">
        <v>849</v>
      </c>
      <c r="BJ132" s="817"/>
      <c r="BK132" s="817" t="s">
        <v>338</v>
      </c>
      <c r="BL132" s="815" t="s">
        <v>2</v>
      </c>
      <c r="BM132" s="821">
        <v>584220.10127192002</v>
      </c>
      <c r="BN132" s="815" t="s">
        <v>740</v>
      </c>
      <c r="BO132" s="821"/>
      <c r="BP132" s="822">
        <v>37574</v>
      </c>
      <c r="BQ132" s="822">
        <v>46692</v>
      </c>
      <c r="BR132" s="821">
        <v>34682.89</v>
      </c>
      <c r="BS132" s="821">
        <v>77.92</v>
      </c>
      <c r="BT132" s="821">
        <v>27.94</v>
      </c>
    </row>
    <row r="133" spans="1:72" s="802" customFormat="1" ht="18.2" customHeight="1" x14ac:dyDescent="0.15">
      <c r="A133" s="805">
        <v>131</v>
      </c>
      <c r="B133" s="806" t="s">
        <v>413</v>
      </c>
      <c r="C133" s="806" t="s">
        <v>25</v>
      </c>
      <c r="D133" s="807">
        <v>45505</v>
      </c>
      <c r="E133" s="808" t="s">
        <v>596</v>
      </c>
      <c r="F133" s="809">
        <v>168</v>
      </c>
      <c r="G133" s="809">
        <v>167</v>
      </c>
      <c r="H133" s="810">
        <v>24607.63</v>
      </c>
      <c r="I133" s="810">
        <v>46827.47</v>
      </c>
      <c r="J133" s="810">
        <v>0</v>
      </c>
      <c r="K133" s="810">
        <v>71435.100000000006</v>
      </c>
      <c r="L133" s="810">
        <v>520.74</v>
      </c>
      <c r="M133" s="810">
        <v>0</v>
      </c>
      <c r="N133" s="810">
        <v>0</v>
      </c>
      <c r="O133" s="810">
        <v>0</v>
      </c>
      <c r="P133" s="810">
        <v>0</v>
      </c>
      <c r="Q133" s="810">
        <v>0</v>
      </c>
      <c r="R133" s="810">
        <v>0</v>
      </c>
      <c r="S133" s="810">
        <v>71435.100000000006</v>
      </c>
      <c r="T133" s="810">
        <v>74309.460000000006</v>
      </c>
      <c r="U133" s="810">
        <v>205.24</v>
      </c>
      <c r="V133" s="810">
        <v>0</v>
      </c>
      <c r="W133" s="810">
        <v>0</v>
      </c>
      <c r="X133" s="810">
        <v>0</v>
      </c>
      <c r="Y133" s="810">
        <v>0</v>
      </c>
      <c r="Z133" s="810">
        <v>0</v>
      </c>
      <c r="AA133" s="810">
        <v>74514.7</v>
      </c>
      <c r="AB133" s="810">
        <v>0</v>
      </c>
      <c r="AC133" s="810">
        <v>0</v>
      </c>
      <c r="AD133" s="810">
        <v>0</v>
      </c>
      <c r="AE133" s="810">
        <v>0</v>
      </c>
      <c r="AF133" s="810">
        <v>0</v>
      </c>
      <c r="AG133" s="810">
        <v>0</v>
      </c>
      <c r="AH133" s="810">
        <v>0</v>
      </c>
      <c r="AI133" s="810">
        <v>0</v>
      </c>
      <c r="AJ133" s="810">
        <v>0</v>
      </c>
      <c r="AK133" s="810">
        <v>0</v>
      </c>
      <c r="AL133" s="810">
        <v>0</v>
      </c>
      <c r="AM133" s="810">
        <v>0</v>
      </c>
      <c r="AN133" s="810">
        <v>0</v>
      </c>
      <c r="AO133" s="810">
        <v>0</v>
      </c>
      <c r="AP133" s="810">
        <v>0</v>
      </c>
      <c r="AQ133" s="810">
        <v>0</v>
      </c>
      <c r="AR133" s="810">
        <v>0</v>
      </c>
      <c r="AS133" s="810">
        <v>0</v>
      </c>
      <c r="AT133" s="810">
        <v>0</v>
      </c>
      <c r="AU133" s="810">
        <f t="shared" si="2"/>
        <v>0</v>
      </c>
      <c r="AV133" s="810">
        <v>47348.21</v>
      </c>
      <c r="AW133" s="810">
        <v>74514.7</v>
      </c>
      <c r="AX133" s="811">
        <v>39</v>
      </c>
      <c r="AY133" s="811">
        <v>300</v>
      </c>
      <c r="AZ133" s="810">
        <v>283119.14</v>
      </c>
      <c r="BA133" s="810">
        <v>79830</v>
      </c>
      <c r="BB133" s="812">
        <v>90</v>
      </c>
      <c r="BC133" s="812">
        <v>80.535625704622305</v>
      </c>
      <c r="BD133" s="812">
        <v>10.01</v>
      </c>
      <c r="BE133" s="812"/>
      <c r="BF133" s="808" t="s">
        <v>815</v>
      </c>
      <c r="BG133" s="805"/>
      <c r="BH133" s="808" t="s">
        <v>540</v>
      </c>
      <c r="BI133" s="808" t="s">
        <v>849</v>
      </c>
      <c r="BJ133" s="808"/>
      <c r="BK133" s="808" t="s">
        <v>338</v>
      </c>
      <c r="BL133" s="806" t="s">
        <v>2</v>
      </c>
      <c r="BM133" s="812">
        <v>586363.87447439996</v>
      </c>
      <c r="BN133" s="806" t="s">
        <v>740</v>
      </c>
      <c r="BO133" s="812"/>
      <c r="BP133" s="813">
        <v>37574</v>
      </c>
      <c r="BQ133" s="813">
        <v>46692</v>
      </c>
      <c r="BR133" s="812">
        <v>35130.35</v>
      </c>
      <c r="BS133" s="812">
        <v>77.92</v>
      </c>
      <c r="BT133" s="812">
        <v>27.94</v>
      </c>
    </row>
    <row r="134" spans="1:72" s="802" customFormat="1" ht="18.2" customHeight="1" x14ac:dyDescent="0.15">
      <c r="A134" s="814">
        <v>132</v>
      </c>
      <c r="B134" s="815" t="s">
        <v>413</v>
      </c>
      <c r="C134" s="815" t="s">
        <v>25</v>
      </c>
      <c r="D134" s="816">
        <v>45505</v>
      </c>
      <c r="E134" s="817" t="s">
        <v>933</v>
      </c>
      <c r="F134" s="818">
        <v>0</v>
      </c>
      <c r="G134" s="818">
        <v>0</v>
      </c>
      <c r="H134" s="819">
        <v>27622.92</v>
      </c>
      <c r="I134" s="819">
        <v>0</v>
      </c>
      <c r="J134" s="819">
        <v>0</v>
      </c>
      <c r="K134" s="819">
        <v>27622.92</v>
      </c>
      <c r="L134" s="819">
        <v>625.74</v>
      </c>
      <c r="M134" s="819">
        <v>0</v>
      </c>
      <c r="N134" s="819">
        <v>0</v>
      </c>
      <c r="O134" s="819">
        <v>0</v>
      </c>
      <c r="P134" s="819">
        <v>625.74</v>
      </c>
      <c r="Q134" s="819">
        <v>0</v>
      </c>
      <c r="R134" s="819">
        <v>0</v>
      </c>
      <c r="S134" s="819">
        <v>26997.18</v>
      </c>
      <c r="T134" s="819">
        <v>0</v>
      </c>
      <c r="U134" s="819">
        <v>230.88</v>
      </c>
      <c r="V134" s="819">
        <v>0</v>
      </c>
      <c r="W134" s="819">
        <v>0</v>
      </c>
      <c r="X134" s="819">
        <v>230.88</v>
      </c>
      <c r="Y134" s="819">
        <v>0</v>
      </c>
      <c r="Z134" s="819">
        <v>0</v>
      </c>
      <c r="AA134" s="819">
        <v>0</v>
      </c>
      <c r="AB134" s="819">
        <v>114.67</v>
      </c>
      <c r="AC134" s="819">
        <v>0</v>
      </c>
      <c r="AD134" s="819">
        <v>0</v>
      </c>
      <c r="AE134" s="819">
        <v>0</v>
      </c>
      <c r="AF134" s="819">
        <v>0</v>
      </c>
      <c r="AG134" s="819">
        <v>0</v>
      </c>
      <c r="AH134" s="819">
        <v>51.5</v>
      </c>
      <c r="AI134" s="819">
        <v>58.97</v>
      </c>
      <c r="AJ134" s="819">
        <v>0</v>
      </c>
      <c r="AK134" s="819">
        <v>0</v>
      </c>
      <c r="AL134" s="819">
        <v>0</v>
      </c>
      <c r="AM134" s="819">
        <v>0</v>
      </c>
      <c r="AN134" s="819">
        <v>0</v>
      </c>
      <c r="AO134" s="819">
        <v>0</v>
      </c>
      <c r="AP134" s="819">
        <v>0</v>
      </c>
      <c r="AQ134" s="819">
        <v>3.4000000000000002E-2</v>
      </c>
      <c r="AR134" s="819">
        <v>0</v>
      </c>
      <c r="AS134" s="819">
        <v>0</v>
      </c>
      <c r="AT134" s="819">
        <v>0</v>
      </c>
      <c r="AU134" s="819">
        <f t="shared" si="2"/>
        <v>1081.7939999999999</v>
      </c>
      <c r="AV134" s="819">
        <v>0</v>
      </c>
      <c r="AW134" s="819">
        <v>0</v>
      </c>
      <c r="AX134" s="820">
        <v>38</v>
      </c>
      <c r="AY134" s="820">
        <v>300</v>
      </c>
      <c r="AZ134" s="819">
        <v>521856</v>
      </c>
      <c r="BA134" s="819">
        <v>94050</v>
      </c>
      <c r="BB134" s="821">
        <v>57.53</v>
      </c>
      <c r="BC134" s="821">
        <v>16.514064491228101</v>
      </c>
      <c r="BD134" s="821">
        <v>10.029999999999999</v>
      </c>
      <c r="BE134" s="821"/>
      <c r="BF134" s="817" t="s">
        <v>815</v>
      </c>
      <c r="BG134" s="814"/>
      <c r="BH134" s="817" t="s">
        <v>823</v>
      </c>
      <c r="BI134" s="817" t="s">
        <v>873</v>
      </c>
      <c r="BJ134" s="817"/>
      <c r="BK134" s="817" t="s">
        <v>309</v>
      </c>
      <c r="BL134" s="815" t="s">
        <v>2</v>
      </c>
      <c r="BM134" s="821">
        <v>221602.14046992001</v>
      </c>
      <c r="BN134" s="815" t="s">
        <v>740</v>
      </c>
      <c r="BO134" s="821"/>
      <c r="BP134" s="822">
        <v>37575</v>
      </c>
      <c r="BQ134" s="822">
        <v>46692</v>
      </c>
      <c r="BR134" s="821">
        <v>0</v>
      </c>
      <c r="BS134" s="821">
        <v>114.67</v>
      </c>
      <c r="BT134" s="821">
        <v>0</v>
      </c>
    </row>
    <row r="135" spans="1:72" s="802" customFormat="1" ht="18.2" customHeight="1" x14ac:dyDescent="0.15">
      <c r="A135" s="805">
        <v>133</v>
      </c>
      <c r="B135" s="806" t="s">
        <v>413</v>
      </c>
      <c r="C135" s="806" t="s">
        <v>25</v>
      </c>
      <c r="D135" s="807">
        <v>45505</v>
      </c>
      <c r="E135" s="808" t="s">
        <v>934</v>
      </c>
      <c r="F135" s="809">
        <v>10</v>
      </c>
      <c r="G135" s="809">
        <v>9</v>
      </c>
      <c r="H135" s="810">
        <v>14623.58</v>
      </c>
      <c r="I135" s="810">
        <v>5142.04</v>
      </c>
      <c r="J135" s="810">
        <v>0</v>
      </c>
      <c r="K135" s="810">
        <v>19765.62</v>
      </c>
      <c r="L135" s="810">
        <v>596.48</v>
      </c>
      <c r="M135" s="810">
        <v>0</v>
      </c>
      <c r="N135" s="810">
        <v>0</v>
      </c>
      <c r="O135" s="810">
        <v>0</v>
      </c>
      <c r="P135" s="810">
        <v>0</v>
      </c>
      <c r="Q135" s="810">
        <v>0</v>
      </c>
      <c r="R135" s="810">
        <v>0</v>
      </c>
      <c r="S135" s="810">
        <v>19765.62</v>
      </c>
      <c r="T135" s="810">
        <v>1267.95</v>
      </c>
      <c r="U135" s="810">
        <v>121.95</v>
      </c>
      <c r="V135" s="810">
        <v>0</v>
      </c>
      <c r="W135" s="810">
        <v>0</v>
      </c>
      <c r="X135" s="810">
        <v>0</v>
      </c>
      <c r="Y135" s="810">
        <v>0</v>
      </c>
      <c r="Z135" s="810">
        <v>0</v>
      </c>
      <c r="AA135" s="810">
        <v>1389.9</v>
      </c>
      <c r="AB135" s="810">
        <v>0</v>
      </c>
      <c r="AC135" s="810">
        <v>0</v>
      </c>
      <c r="AD135" s="810">
        <v>0</v>
      </c>
      <c r="AE135" s="810">
        <v>0</v>
      </c>
      <c r="AF135" s="810">
        <v>0</v>
      </c>
      <c r="AG135" s="810">
        <v>0</v>
      </c>
      <c r="AH135" s="810">
        <v>0</v>
      </c>
      <c r="AI135" s="810">
        <v>0</v>
      </c>
      <c r="AJ135" s="810">
        <v>0</v>
      </c>
      <c r="AK135" s="810">
        <v>0</v>
      </c>
      <c r="AL135" s="810">
        <v>0</v>
      </c>
      <c r="AM135" s="810">
        <v>0</v>
      </c>
      <c r="AN135" s="810">
        <v>0</v>
      </c>
      <c r="AO135" s="810">
        <v>0</v>
      </c>
      <c r="AP135" s="810">
        <v>0</v>
      </c>
      <c r="AQ135" s="810">
        <v>0</v>
      </c>
      <c r="AR135" s="810">
        <v>0</v>
      </c>
      <c r="AS135" s="810">
        <v>0</v>
      </c>
      <c r="AT135" s="810">
        <v>0</v>
      </c>
      <c r="AU135" s="810">
        <f t="shared" si="2"/>
        <v>0</v>
      </c>
      <c r="AV135" s="810">
        <v>5738.52</v>
      </c>
      <c r="AW135" s="810">
        <v>1389.9</v>
      </c>
      <c r="AX135" s="811">
        <v>38</v>
      </c>
      <c r="AY135" s="811">
        <v>300</v>
      </c>
      <c r="AZ135" s="810">
        <v>283222.2</v>
      </c>
      <c r="BA135" s="810">
        <v>79000</v>
      </c>
      <c r="BB135" s="812">
        <v>89.06</v>
      </c>
      <c r="BC135" s="812">
        <v>22.282609078480998</v>
      </c>
      <c r="BD135" s="812">
        <v>10.01</v>
      </c>
      <c r="BE135" s="812"/>
      <c r="BF135" s="808" t="s">
        <v>815</v>
      </c>
      <c r="BG135" s="805"/>
      <c r="BH135" s="808" t="s">
        <v>540</v>
      </c>
      <c r="BI135" s="808" t="s">
        <v>849</v>
      </c>
      <c r="BJ135" s="808"/>
      <c r="BK135" s="808" t="s">
        <v>338</v>
      </c>
      <c r="BL135" s="806" t="s">
        <v>2</v>
      </c>
      <c r="BM135" s="812">
        <v>162243.00833328001</v>
      </c>
      <c r="BN135" s="806" t="s">
        <v>740</v>
      </c>
      <c r="BO135" s="812"/>
      <c r="BP135" s="813">
        <v>37579</v>
      </c>
      <c r="BQ135" s="813">
        <v>46692</v>
      </c>
      <c r="BR135" s="812">
        <v>1775.25</v>
      </c>
      <c r="BS135" s="812">
        <v>77.11</v>
      </c>
      <c r="BT135" s="812">
        <v>27.95</v>
      </c>
    </row>
    <row r="136" spans="1:72" s="802" customFormat="1" ht="18.2" customHeight="1" x14ac:dyDescent="0.15">
      <c r="A136" s="814">
        <v>134</v>
      </c>
      <c r="B136" s="815" t="s">
        <v>413</v>
      </c>
      <c r="C136" s="815" t="s">
        <v>25</v>
      </c>
      <c r="D136" s="816">
        <v>45505</v>
      </c>
      <c r="E136" s="817" t="s">
        <v>597</v>
      </c>
      <c r="F136" s="818">
        <v>154</v>
      </c>
      <c r="G136" s="818">
        <v>153</v>
      </c>
      <c r="H136" s="819">
        <v>24607.63</v>
      </c>
      <c r="I136" s="819">
        <v>44904.74</v>
      </c>
      <c r="J136" s="819">
        <v>0</v>
      </c>
      <c r="K136" s="819">
        <v>69512.37</v>
      </c>
      <c r="L136" s="819">
        <v>520.74</v>
      </c>
      <c r="M136" s="819">
        <v>0</v>
      </c>
      <c r="N136" s="819">
        <v>0</v>
      </c>
      <c r="O136" s="819">
        <v>0</v>
      </c>
      <c r="P136" s="819">
        <v>0</v>
      </c>
      <c r="Q136" s="819">
        <v>0</v>
      </c>
      <c r="R136" s="819">
        <v>0</v>
      </c>
      <c r="S136" s="819">
        <v>69512.37</v>
      </c>
      <c r="T136" s="819">
        <v>66166.22</v>
      </c>
      <c r="U136" s="819">
        <v>205.24</v>
      </c>
      <c r="V136" s="819">
        <v>0</v>
      </c>
      <c r="W136" s="819">
        <v>0</v>
      </c>
      <c r="X136" s="819">
        <v>0</v>
      </c>
      <c r="Y136" s="819">
        <v>0</v>
      </c>
      <c r="Z136" s="819">
        <v>0</v>
      </c>
      <c r="AA136" s="819">
        <v>66371.460000000006</v>
      </c>
      <c r="AB136" s="819">
        <v>0</v>
      </c>
      <c r="AC136" s="819">
        <v>0</v>
      </c>
      <c r="AD136" s="819">
        <v>0</v>
      </c>
      <c r="AE136" s="819">
        <v>0</v>
      </c>
      <c r="AF136" s="819">
        <v>0</v>
      </c>
      <c r="AG136" s="819">
        <v>0</v>
      </c>
      <c r="AH136" s="819">
        <v>0</v>
      </c>
      <c r="AI136" s="819">
        <v>0</v>
      </c>
      <c r="AJ136" s="819">
        <v>0</v>
      </c>
      <c r="AK136" s="819">
        <v>0</v>
      </c>
      <c r="AL136" s="819">
        <v>0</v>
      </c>
      <c r="AM136" s="819">
        <v>0</v>
      </c>
      <c r="AN136" s="819">
        <v>0</v>
      </c>
      <c r="AO136" s="819">
        <v>0</v>
      </c>
      <c r="AP136" s="819">
        <v>0</v>
      </c>
      <c r="AQ136" s="819">
        <v>0</v>
      </c>
      <c r="AR136" s="819">
        <v>0</v>
      </c>
      <c r="AS136" s="819">
        <v>0</v>
      </c>
      <c r="AT136" s="819">
        <v>0</v>
      </c>
      <c r="AU136" s="819">
        <f t="shared" si="2"/>
        <v>0</v>
      </c>
      <c r="AV136" s="819">
        <v>45425.48</v>
      </c>
      <c r="AW136" s="819">
        <v>66371.460000000006</v>
      </c>
      <c r="AX136" s="820">
        <v>38</v>
      </c>
      <c r="AY136" s="820">
        <v>300</v>
      </c>
      <c r="AZ136" s="819">
        <v>283201.63</v>
      </c>
      <c r="BA136" s="819">
        <v>79830</v>
      </c>
      <c r="BB136" s="821">
        <v>90</v>
      </c>
      <c r="BC136" s="821">
        <v>78.367948139797093</v>
      </c>
      <c r="BD136" s="821">
        <v>10.01</v>
      </c>
      <c r="BE136" s="821"/>
      <c r="BF136" s="817" t="s">
        <v>815</v>
      </c>
      <c r="BG136" s="814"/>
      <c r="BH136" s="817" t="s">
        <v>540</v>
      </c>
      <c r="BI136" s="817" t="s">
        <v>849</v>
      </c>
      <c r="BJ136" s="817"/>
      <c r="BK136" s="817" t="s">
        <v>338</v>
      </c>
      <c r="BL136" s="815" t="s">
        <v>2</v>
      </c>
      <c r="BM136" s="821">
        <v>570581.44521528005</v>
      </c>
      <c r="BN136" s="815" t="s">
        <v>740</v>
      </c>
      <c r="BO136" s="821"/>
      <c r="BP136" s="822">
        <v>37578</v>
      </c>
      <c r="BQ136" s="822">
        <v>46692</v>
      </c>
      <c r="BR136" s="821">
        <v>32079.01</v>
      </c>
      <c r="BS136" s="821">
        <v>77.92</v>
      </c>
      <c r="BT136" s="821">
        <v>27.94</v>
      </c>
    </row>
    <row r="137" spans="1:72" s="802" customFormat="1" ht="18.2" customHeight="1" x14ac:dyDescent="0.15">
      <c r="A137" s="805">
        <v>135</v>
      </c>
      <c r="B137" s="806" t="s">
        <v>413</v>
      </c>
      <c r="C137" s="806" t="s">
        <v>25</v>
      </c>
      <c r="D137" s="807">
        <v>45505</v>
      </c>
      <c r="E137" s="808" t="s">
        <v>935</v>
      </c>
      <c r="F137" s="809">
        <v>0</v>
      </c>
      <c r="G137" s="809">
        <v>0</v>
      </c>
      <c r="H137" s="810">
        <v>18459.099999999999</v>
      </c>
      <c r="I137" s="810">
        <v>0</v>
      </c>
      <c r="J137" s="810">
        <v>0</v>
      </c>
      <c r="K137" s="810">
        <v>18459.099999999999</v>
      </c>
      <c r="L137" s="810">
        <v>393.19</v>
      </c>
      <c r="M137" s="810">
        <v>0</v>
      </c>
      <c r="N137" s="810">
        <v>0</v>
      </c>
      <c r="O137" s="810">
        <v>0</v>
      </c>
      <c r="P137" s="810">
        <v>393.19</v>
      </c>
      <c r="Q137" s="810">
        <v>0</v>
      </c>
      <c r="R137" s="810">
        <v>0</v>
      </c>
      <c r="S137" s="810">
        <v>18065.91</v>
      </c>
      <c r="T137" s="810">
        <v>0</v>
      </c>
      <c r="U137" s="810">
        <v>154.29</v>
      </c>
      <c r="V137" s="810">
        <v>0</v>
      </c>
      <c r="W137" s="810">
        <v>0</v>
      </c>
      <c r="X137" s="810">
        <v>154.29</v>
      </c>
      <c r="Y137" s="810">
        <v>0</v>
      </c>
      <c r="Z137" s="810">
        <v>0</v>
      </c>
      <c r="AA137" s="810">
        <v>0</v>
      </c>
      <c r="AB137" s="810">
        <v>100</v>
      </c>
      <c r="AC137" s="810">
        <v>0</v>
      </c>
      <c r="AD137" s="810">
        <v>0</v>
      </c>
      <c r="AE137" s="810">
        <v>0</v>
      </c>
      <c r="AF137" s="810">
        <v>0</v>
      </c>
      <c r="AG137" s="810">
        <v>0</v>
      </c>
      <c r="AH137" s="810">
        <v>34.25</v>
      </c>
      <c r="AI137" s="810">
        <v>37.659999999999997</v>
      </c>
      <c r="AJ137" s="810">
        <v>0</v>
      </c>
      <c r="AK137" s="810">
        <v>0</v>
      </c>
      <c r="AL137" s="810">
        <v>0</v>
      </c>
      <c r="AM137" s="810">
        <v>0</v>
      </c>
      <c r="AN137" s="810">
        <v>0</v>
      </c>
      <c r="AO137" s="810">
        <v>0</v>
      </c>
      <c r="AP137" s="810">
        <v>0</v>
      </c>
      <c r="AQ137" s="810">
        <v>7.3999999999999996E-2</v>
      </c>
      <c r="AR137" s="810">
        <v>0</v>
      </c>
      <c r="AS137" s="810">
        <v>0</v>
      </c>
      <c r="AT137" s="810">
        <v>0</v>
      </c>
      <c r="AU137" s="810">
        <f t="shared" si="2"/>
        <v>719.46399999999994</v>
      </c>
      <c r="AV137" s="810">
        <v>0</v>
      </c>
      <c r="AW137" s="810">
        <v>0</v>
      </c>
      <c r="AX137" s="811">
        <v>38</v>
      </c>
      <c r="AY137" s="811">
        <v>300</v>
      </c>
      <c r="AZ137" s="810">
        <v>379860.5</v>
      </c>
      <c r="BA137" s="810">
        <v>60109</v>
      </c>
      <c r="BB137" s="812">
        <v>50.51</v>
      </c>
      <c r="BC137" s="812">
        <v>15.1809065880317</v>
      </c>
      <c r="BD137" s="812">
        <v>10.029999999999999</v>
      </c>
      <c r="BE137" s="812"/>
      <c r="BF137" s="808" t="s">
        <v>815</v>
      </c>
      <c r="BG137" s="805"/>
      <c r="BH137" s="808" t="s">
        <v>540</v>
      </c>
      <c r="BI137" s="808" t="s">
        <v>843</v>
      </c>
      <c r="BJ137" s="808"/>
      <c r="BK137" s="808" t="s">
        <v>309</v>
      </c>
      <c r="BL137" s="806" t="s">
        <v>2</v>
      </c>
      <c r="BM137" s="812">
        <v>148291.20395304001</v>
      </c>
      <c r="BN137" s="806" t="s">
        <v>740</v>
      </c>
      <c r="BO137" s="812"/>
      <c r="BP137" s="813">
        <v>37575</v>
      </c>
      <c r="BQ137" s="813">
        <v>46692</v>
      </c>
      <c r="BR137" s="812">
        <v>0</v>
      </c>
      <c r="BS137" s="812">
        <v>100</v>
      </c>
      <c r="BT137" s="812">
        <v>0</v>
      </c>
    </row>
    <row r="138" spans="1:72" s="802" customFormat="1" ht="18.2" customHeight="1" x14ac:dyDescent="0.15">
      <c r="A138" s="814">
        <v>136</v>
      </c>
      <c r="B138" s="815" t="s">
        <v>413</v>
      </c>
      <c r="C138" s="815" t="s">
        <v>25</v>
      </c>
      <c r="D138" s="816">
        <v>45505</v>
      </c>
      <c r="E138" s="817" t="s">
        <v>598</v>
      </c>
      <c r="F138" s="818">
        <v>141</v>
      </c>
      <c r="G138" s="818">
        <v>140</v>
      </c>
      <c r="H138" s="819">
        <v>40127.03</v>
      </c>
      <c r="I138" s="819">
        <v>66428.58</v>
      </c>
      <c r="J138" s="819">
        <v>0</v>
      </c>
      <c r="K138" s="819">
        <v>106555.61</v>
      </c>
      <c r="L138" s="819">
        <v>819.61</v>
      </c>
      <c r="M138" s="819">
        <v>0</v>
      </c>
      <c r="N138" s="819">
        <v>0</v>
      </c>
      <c r="O138" s="819">
        <v>0</v>
      </c>
      <c r="P138" s="819">
        <v>0</v>
      </c>
      <c r="Q138" s="819">
        <v>0</v>
      </c>
      <c r="R138" s="819">
        <v>0</v>
      </c>
      <c r="S138" s="819">
        <v>106555.61</v>
      </c>
      <c r="T138" s="819">
        <v>96803.76</v>
      </c>
      <c r="U138" s="819">
        <v>346.38</v>
      </c>
      <c r="V138" s="819">
        <v>0</v>
      </c>
      <c r="W138" s="819">
        <v>0</v>
      </c>
      <c r="X138" s="819">
        <v>0</v>
      </c>
      <c r="Y138" s="819">
        <v>0</v>
      </c>
      <c r="Z138" s="819">
        <v>0</v>
      </c>
      <c r="AA138" s="819">
        <v>97150.14</v>
      </c>
      <c r="AB138" s="819">
        <v>0</v>
      </c>
      <c r="AC138" s="819">
        <v>0</v>
      </c>
      <c r="AD138" s="819">
        <v>0</v>
      </c>
      <c r="AE138" s="819">
        <v>0</v>
      </c>
      <c r="AF138" s="819">
        <v>0</v>
      </c>
      <c r="AG138" s="819">
        <v>0</v>
      </c>
      <c r="AH138" s="819">
        <v>0</v>
      </c>
      <c r="AI138" s="819">
        <v>0</v>
      </c>
      <c r="AJ138" s="819">
        <v>0</v>
      </c>
      <c r="AK138" s="819">
        <v>0</v>
      </c>
      <c r="AL138" s="819">
        <v>0</v>
      </c>
      <c r="AM138" s="819">
        <v>0</v>
      </c>
      <c r="AN138" s="819">
        <v>0</v>
      </c>
      <c r="AO138" s="819">
        <v>0</v>
      </c>
      <c r="AP138" s="819">
        <v>0</v>
      </c>
      <c r="AQ138" s="819">
        <v>0</v>
      </c>
      <c r="AR138" s="819">
        <v>0</v>
      </c>
      <c r="AS138" s="819">
        <v>0</v>
      </c>
      <c r="AT138" s="819">
        <v>0</v>
      </c>
      <c r="AU138" s="819">
        <f t="shared" si="2"/>
        <v>0</v>
      </c>
      <c r="AV138" s="819">
        <v>67248.19</v>
      </c>
      <c r="AW138" s="819">
        <v>97150.14</v>
      </c>
      <c r="AX138" s="820">
        <v>40</v>
      </c>
      <c r="AY138" s="820">
        <v>300</v>
      </c>
      <c r="AZ138" s="819">
        <v>500000</v>
      </c>
      <c r="BA138" s="819">
        <v>124812</v>
      </c>
      <c r="BB138" s="821">
        <v>80</v>
      </c>
      <c r="BC138" s="821">
        <v>68.298311059834006</v>
      </c>
      <c r="BD138" s="821">
        <v>10.36</v>
      </c>
      <c r="BE138" s="821"/>
      <c r="BF138" s="817" t="s">
        <v>815</v>
      </c>
      <c r="BG138" s="814"/>
      <c r="BH138" s="817" t="s">
        <v>905</v>
      </c>
      <c r="BI138" s="817" t="s">
        <v>926</v>
      </c>
      <c r="BJ138" s="817"/>
      <c r="BK138" s="817" t="s">
        <v>338</v>
      </c>
      <c r="BL138" s="815" t="s">
        <v>2</v>
      </c>
      <c r="BM138" s="821">
        <v>874645.10200983996</v>
      </c>
      <c r="BN138" s="815" t="s">
        <v>740</v>
      </c>
      <c r="BO138" s="821"/>
      <c r="BP138" s="822">
        <v>37593</v>
      </c>
      <c r="BQ138" s="822">
        <v>46721</v>
      </c>
      <c r="BR138" s="821">
        <v>43200.23</v>
      </c>
      <c r="BS138" s="821">
        <v>122.99</v>
      </c>
      <c r="BT138" s="821">
        <v>27.86</v>
      </c>
    </row>
    <row r="139" spans="1:72" s="802" customFormat="1" ht="18.2" customHeight="1" x14ac:dyDescent="0.15">
      <c r="A139" s="805">
        <v>137</v>
      </c>
      <c r="B139" s="806" t="s">
        <v>413</v>
      </c>
      <c r="C139" s="806" t="s">
        <v>25</v>
      </c>
      <c r="D139" s="807">
        <v>45505</v>
      </c>
      <c r="E139" s="808" t="s">
        <v>599</v>
      </c>
      <c r="F139" s="809">
        <v>4</v>
      </c>
      <c r="G139" s="809">
        <v>4</v>
      </c>
      <c r="H139" s="810">
        <v>24532.1</v>
      </c>
      <c r="I139" s="810">
        <v>2034.98</v>
      </c>
      <c r="J139" s="810">
        <v>0</v>
      </c>
      <c r="K139" s="810">
        <v>26567.08</v>
      </c>
      <c r="L139" s="810">
        <v>521.37</v>
      </c>
      <c r="M139" s="810">
        <v>0</v>
      </c>
      <c r="N139" s="810">
        <v>0</v>
      </c>
      <c r="O139" s="810">
        <v>504.33</v>
      </c>
      <c r="P139" s="810">
        <v>0</v>
      </c>
      <c r="Q139" s="810">
        <v>0</v>
      </c>
      <c r="R139" s="810">
        <v>0</v>
      </c>
      <c r="S139" s="810">
        <v>26066.61</v>
      </c>
      <c r="T139" s="810">
        <v>865.08</v>
      </c>
      <c r="U139" s="810">
        <v>204.61</v>
      </c>
      <c r="V139" s="810">
        <v>0</v>
      </c>
      <c r="W139" s="810">
        <v>225.52</v>
      </c>
      <c r="X139" s="810">
        <v>0</v>
      </c>
      <c r="Y139" s="810">
        <v>0</v>
      </c>
      <c r="Z139" s="810">
        <v>0</v>
      </c>
      <c r="AA139" s="810">
        <v>844.17</v>
      </c>
      <c r="AB139" s="810">
        <v>0</v>
      </c>
      <c r="AC139" s="810">
        <v>0</v>
      </c>
      <c r="AD139" s="810">
        <v>0</v>
      </c>
      <c r="AE139" s="810">
        <v>0</v>
      </c>
      <c r="AF139" s="810">
        <v>27.94</v>
      </c>
      <c r="AG139" s="810">
        <v>0</v>
      </c>
      <c r="AH139" s="810">
        <v>0</v>
      </c>
      <c r="AI139" s="810">
        <v>0</v>
      </c>
      <c r="AJ139" s="810">
        <v>77.92</v>
      </c>
      <c r="AK139" s="810">
        <v>0</v>
      </c>
      <c r="AL139" s="810">
        <v>0</v>
      </c>
      <c r="AM139" s="810">
        <v>0</v>
      </c>
      <c r="AN139" s="810">
        <v>0</v>
      </c>
      <c r="AO139" s="810">
        <v>42.69</v>
      </c>
      <c r="AP139" s="810">
        <v>22.19</v>
      </c>
      <c r="AQ139" s="810">
        <v>0</v>
      </c>
      <c r="AR139" s="810">
        <v>0</v>
      </c>
      <c r="AS139" s="810">
        <v>1.2179999999999999E-3</v>
      </c>
      <c r="AT139" s="810">
        <v>0</v>
      </c>
      <c r="AU139" s="810">
        <f t="shared" si="2"/>
        <v>900.58878199999992</v>
      </c>
      <c r="AV139" s="810">
        <v>2059.75</v>
      </c>
      <c r="AW139" s="810">
        <v>844.17</v>
      </c>
      <c r="AX139" s="811">
        <v>38</v>
      </c>
      <c r="AY139" s="811">
        <v>300</v>
      </c>
      <c r="AZ139" s="810">
        <v>283222.2</v>
      </c>
      <c r="BA139" s="810">
        <v>79830</v>
      </c>
      <c r="BB139" s="812">
        <v>90</v>
      </c>
      <c r="BC139" s="812">
        <v>29.387384441939101</v>
      </c>
      <c r="BD139" s="812">
        <v>10.01</v>
      </c>
      <c r="BE139" s="812"/>
      <c r="BF139" s="808" t="s">
        <v>815</v>
      </c>
      <c r="BG139" s="805"/>
      <c r="BH139" s="808" t="s">
        <v>540</v>
      </c>
      <c r="BI139" s="808" t="s">
        <v>849</v>
      </c>
      <c r="BJ139" s="808"/>
      <c r="BK139" s="808" t="s">
        <v>828</v>
      </c>
      <c r="BL139" s="806" t="s">
        <v>2</v>
      </c>
      <c r="BM139" s="812">
        <v>213963.70179384001</v>
      </c>
      <c r="BN139" s="806" t="s">
        <v>740</v>
      </c>
      <c r="BO139" s="812"/>
      <c r="BP139" s="813">
        <v>37579</v>
      </c>
      <c r="BQ139" s="813">
        <v>46692</v>
      </c>
      <c r="BR139" s="812">
        <v>751.89</v>
      </c>
      <c r="BS139" s="812">
        <v>77.92</v>
      </c>
      <c r="BT139" s="812">
        <v>27.94</v>
      </c>
    </row>
    <row r="140" spans="1:72" s="802" customFormat="1" ht="18.2" customHeight="1" x14ac:dyDescent="0.15">
      <c r="A140" s="814">
        <v>138</v>
      </c>
      <c r="B140" s="815" t="s">
        <v>413</v>
      </c>
      <c r="C140" s="815" t="s">
        <v>25</v>
      </c>
      <c r="D140" s="816">
        <v>45505</v>
      </c>
      <c r="E140" s="817" t="s">
        <v>600</v>
      </c>
      <c r="F140" s="818">
        <v>125</v>
      </c>
      <c r="G140" s="818">
        <v>124</v>
      </c>
      <c r="H140" s="819">
        <v>28209.62</v>
      </c>
      <c r="I140" s="819">
        <v>43750.65</v>
      </c>
      <c r="J140" s="819">
        <v>0</v>
      </c>
      <c r="K140" s="819">
        <v>71960.27</v>
      </c>
      <c r="L140" s="819">
        <v>576.26</v>
      </c>
      <c r="M140" s="819">
        <v>0</v>
      </c>
      <c r="N140" s="819">
        <v>0</v>
      </c>
      <c r="O140" s="819">
        <v>0</v>
      </c>
      <c r="P140" s="819">
        <v>0</v>
      </c>
      <c r="Q140" s="819">
        <v>0</v>
      </c>
      <c r="R140" s="819">
        <v>0</v>
      </c>
      <c r="S140" s="819">
        <v>71960.27</v>
      </c>
      <c r="T140" s="819">
        <v>57893.24</v>
      </c>
      <c r="U140" s="819">
        <v>243.5</v>
      </c>
      <c r="V140" s="819">
        <v>0</v>
      </c>
      <c r="W140" s="819">
        <v>0</v>
      </c>
      <c r="X140" s="819">
        <v>0</v>
      </c>
      <c r="Y140" s="819">
        <v>0</v>
      </c>
      <c r="Z140" s="819">
        <v>0</v>
      </c>
      <c r="AA140" s="819">
        <v>58136.74</v>
      </c>
      <c r="AB140" s="819">
        <v>0</v>
      </c>
      <c r="AC140" s="819">
        <v>0</v>
      </c>
      <c r="AD140" s="819">
        <v>0</v>
      </c>
      <c r="AE140" s="819">
        <v>0</v>
      </c>
      <c r="AF140" s="819">
        <v>0</v>
      </c>
      <c r="AG140" s="819">
        <v>0</v>
      </c>
      <c r="AH140" s="819">
        <v>0</v>
      </c>
      <c r="AI140" s="819">
        <v>0</v>
      </c>
      <c r="AJ140" s="819">
        <v>0</v>
      </c>
      <c r="AK140" s="819">
        <v>0</v>
      </c>
      <c r="AL140" s="819">
        <v>0</v>
      </c>
      <c r="AM140" s="819">
        <v>0</v>
      </c>
      <c r="AN140" s="819">
        <v>0</v>
      </c>
      <c r="AO140" s="819">
        <v>0</v>
      </c>
      <c r="AP140" s="819">
        <v>0</v>
      </c>
      <c r="AQ140" s="819">
        <v>0</v>
      </c>
      <c r="AR140" s="819">
        <v>0</v>
      </c>
      <c r="AS140" s="819">
        <v>0</v>
      </c>
      <c r="AT140" s="819">
        <v>0</v>
      </c>
      <c r="AU140" s="819">
        <f t="shared" si="2"/>
        <v>0</v>
      </c>
      <c r="AV140" s="819">
        <v>44326.91</v>
      </c>
      <c r="AW140" s="819">
        <v>58136.74</v>
      </c>
      <c r="AX140" s="820">
        <v>39</v>
      </c>
      <c r="AY140" s="820">
        <v>300</v>
      </c>
      <c r="AZ140" s="819">
        <v>312848.34999999998</v>
      </c>
      <c r="BA140" s="819">
        <v>87750</v>
      </c>
      <c r="BB140" s="821">
        <v>90</v>
      </c>
      <c r="BC140" s="821">
        <v>73.805405128205095</v>
      </c>
      <c r="BD140" s="821">
        <v>10.36</v>
      </c>
      <c r="BE140" s="821"/>
      <c r="BF140" s="817" t="s">
        <v>815</v>
      </c>
      <c r="BG140" s="814"/>
      <c r="BH140" s="817" t="s">
        <v>540</v>
      </c>
      <c r="BI140" s="817" t="s">
        <v>843</v>
      </c>
      <c r="BJ140" s="817"/>
      <c r="BK140" s="817" t="s">
        <v>338</v>
      </c>
      <c r="BL140" s="815" t="s">
        <v>2</v>
      </c>
      <c r="BM140" s="821">
        <v>590674.65049288003</v>
      </c>
      <c r="BN140" s="815" t="s">
        <v>740</v>
      </c>
      <c r="BO140" s="821"/>
      <c r="BP140" s="822">
        <v>37596</v>
      </c>
      <c r="BQ140" s="822">
        <v>46721</v>
      </c>
      <c r="BR140" s="821">
        <v>29809.439999999999</v>
      </c>
      <c r="BS140" s="821">
        <v>100</v>
      </c>
      <c r="BT140" s="821">
        <v>27.8</v>
      </c>
    </row>
    <row r="141" spans="1:72" s="802" customFormat="1" ht="18.2" customHeight="1" x14ac:dyDescent="0.15">
      <c r="A141" s="805">
        <v>139</v>
      </c>
      <c r="B141" s="806" t="s">
        <v>413</v>
      </c>
      <c r="C141" s="806" t="s">
        <v>25</v>
      </c>
      <c r="D141" s="807">
        <v>45505</v>
      </c>
      <c r="E141" s="808" t="s">
        <v>601</v>
      </c>
      <c r="F141" s="809">
        <v>201</v>
      </c>
      <c r="G141" s="809">
        <v>200</v>
      </c>
      <c r="H141" s="810">
        <v>28209.62</v>
      </c>
      <c r="I141" s="810">
        <v>54777.75</v>
      </c>
      <c r="J141" s="810">
        <v>0</v>
      </c>
      <c r="K141" s="810">
        <v>82987.37</v>
      </c>
      <c r="L141" s="810">
        <v>576.26</v>
      </c>
      <c r="M141" s="810">
        <v>0</v>
      </c>
      <c r="N141" s="810">
        <v>0</v>
      </c>
      <c r="O141" s="810">
        <v>0</v>
      </c>
      <c r="P141" s="810">
        <v>0</v>
      </c>
      <c r="Q141" s="810">
        <v>0</v>
      </c>
      <c r="R141" s="810">
        <v>0</v>
      </c>
      <c r="S141" s="810">
        <v>82987.37</v>
      </c>
      <c r="T141" s="810">
        <v>108461.46</v>
      </c>
      <c r="U141" s="810">
        <v>243.5</v>
      </c>
      <c r="V141" s="810">
        <v>0</v>
      </c>
      <c r="W141" s="810">
        <v>0</v>
      </c>
      <c r="X141" s="810">
        <v>0</v>
      </c>
      <c r="Y141" s="810">
        <v>0</v>
      </c>
      <c r="Z141" s="810">
        <v>0</v>
      </c>
      <c r="AA141" s="810">
        <v>108704.96000000001</v>
      </c>
      <c r="AB141" s="810">
        <v>0</v>
      </c>
      <c r="AC141" s="810">
        <v>0</v>
      </c>
      <c r="AD141" s="810">
        <v>0</v>
      </c>
      <c r="AE141" s="810">
        <v>0</v>
      </c>
      <c r="AF141" s="810">
        <v>0</v>
      </c>
      <c r="AG141" s="810">
        <v>0</v>
      </c>
      <c r="AH141" s="810">
        <v>0</v>
      </c>
      <c r="AI141" s="810">
        <v>0</v>
      </c>
      <c r="AJ141" s="810">
        <v>0</v>
      </c>
      <c r="AK141" s="810">
        <v>0</v>
      </c>
      <c r="AL141" s="810">
        <v>0</v>
      </c>
      <c r="AM141" s="810">
        <v>0</v>
      </c>
      <c r="AN141" s="810">
        <v>0</v>
      </c>
      <c r="AO141" s="810">
        <v>0</v>
      </c>
      <c r="AP141" s="810">
        <v>0</v>
      </c>
      <c r="AQ141" s="810">
        <v>0</v>
      </c>
      <c r="AR141" s="810">
        <v>0</v>
      </c>
      <c r="AS141" s="810">
        <v>0</v>
      </c>
      <c r="AT141" s="810">
        <v>0</v>
      </c>
      <c r="AU141" s="810">
        <f t="shared" si="2"/>
        <v>0</v>
      </c>
      <c r="AV141" s="810">
        <v>55354.01</v>
      </c>
      <c r="AW141" s="810">
        <v>108704.96000000001</v>
      </c>
      <c r="AX141" s="811">
        <v>40</v>
      </c>
      <c r="AY141" s="811">
        <v>300</v>
      </c>
      <c r="AZ141" s="810">
        <v>312341.64</v>
      </c>
      <c r="BA141" s="810">
        <v>87750</v>
      </c>
      <c r="BB141" s="812">
        <v>90</v>
      </c>
      <c r="BC141" s="812">
        <v>85.115251282051304</v>
      </c>
      <c r="BD141" s="812">
        <v>10.36</v>
      </c>
      <c r="BE141" s="812"/>
      <c r="BF141" s="808" t="s">
        <v>815</v>
      </c>
      <c r="BG141" s="805"/>
      <c r="BH141" s="808" t="s">
        <v>540</v>
      </c>
      <c r="BI141" s="808" t="s">
        <v>843</v>
      </c>
      <c r="BJ141" s="808"/>
      <c r="BK141" s="808" t="s">
        <v>338</v>
      </c>
      <c r="BL141" s="806" t="s">
        <v>2</v>
      </c>
      <c r="BM141" s="812">
        <v>681188.88061528001</v>
      </c>
      <c r="BN141" s="806" t="s">
        <v>740</v>
      </c>
      <c r="BO141" s="812"/>
      <c r="BP141" s="813">
        <v>37592</v>
      </c>
      <c r="BQ141" s="813">
        <v>46721</v>
      </c>
      <c r="BR141" s="812">
        <v>49204.28</v>
      </c>
      <c r="BS141" s="812">
        <v>100</v>
      </c>
      <c r="BT141" s="812">
        <v>27.86</v>
      </c>
    </row>
    <row r="142" spans="1:72" s="802" customFormat="1" ht="18.2" customHeight="1" x14ac:dyDescent="0.15">
      <c r="A142" s="814">
        <v>140</v>
      </c>
      <c r="B142" s="815" t="s">
        <v>413</v>
      </c>
      <c r="C142" s="815" t="s">
        <v>25</v>
      </c>
      <c r="D142" s="816">
        <v>45505</v>
      </c>
      <c r="E142" s="817" t="s">
        <v>975</v>
      </c>
      <c r="F142" s="818">
        <v>190</v>
      </c>
      <c r="G142" s="818">
        <v>189</v>
      </c>
      <c r="H142" s="819">
        <v>17722.41</v>
      </c>
      <c r="I142" s="819">
        <v>34190.300000000003</v>
      </c>
      <c r="J142" s="819">
        <v>0</v>
      </c>
      <c r="K142" s="819">
        <v>51912.71</v>
      </c>
      <c r="L142" s="819">
        <v>363.31</v>
      </c>
      <c r="M142" s="819">
        <v>0</v>
      </c>
      <c r="N142" s="819">
        <v>0</v>
      </c>
      <c r="O142" s="819">
        <v>0</v>
      </c>
      <c r="P142" s="819">
        <v>0</v>
      </c>
      <c r="Q142" s="819">
        <v>0</v>
      </c>
      <c r="R142" s="819">
        <v>0</v>
      </c>
      <c r="S142" s="819">
        <v>51912.71</v>
      </c>
      <c r="T142" s="819">
        <v>62834.743711000003</v>
      </c>
      <c r="U142" s="819">
        <v>150.05000000000001</v>
      </c>
      <c r="V142" s="819">
        <v>0</v>
      </c>
      <c r="W142" s="819">
        <v>0</v>
      </c>
      <c r="X142" s="819">
        <v>0</v>
      </c>
      <c r="Y142" s="819">
        <v>0</v>
      </c>
      <c r="Z142" s="819">
        <v>0</v>
      </c>
      <c r="AA142" s="819">
        <v>62984.793710999998</v>
      </c>
      <c r="AB142" s="819">
        <v>0</v>
      </c>
      <c r="AC142" s="819">
        <v>0</v>
      </c>
      <c r="AD142" s="819">
        <v>0</v>
      </c>
      <c r="AE142" s="819">
        <v>0</v>
      </c>
      <c r="AF142" s="819">
        <v>0</v>
      </c>
      <c r="AG142" s="819">
        <v>0</v>
      </c>
      <c r="AH142" s="819">
        <v>0</v>
      </c>
      <c r="AI142" s="819">
        <v>0</v>
      </c>
      <c r="AJ142" s="819">
        <v>0</v>
      </c>
      <c r="AK142" s="819">
        <v>0</v>
      </c>
      <c r="AL142" s="819">
        <v>0</v>
      </c>
      <c r="AM142" s="819">
        <v>0</v>
      </c>
      <c r="AN142" s="819">
        <v>0</v>
      </c>
      <c r="AO142" s="819">
        <v>0</v>
      </c>
      <c r="AP142" s="819">
        <v>0</v>
      </c>
      <c r="AQ142" s="819">
        <v>0</v>
      </c>
      <c r="AR142" s="819">
        <v>0</v>
      </c>
      <c r="AS142" s="819">
        <v>0</v>
      </c>
      <c r="AT142" s="819">
        <v>0</v>
      </c>
      <c r="AU142" s="819">
        <f t="shared" si="2"/>
        <v>0</v>
      </c>
      <c r="AV142" s="819">
        <v>34553.58</v>
      </c>
      <c r="AW142" s="819">
        <v>62984.793710999998</v>
      </c>
      <c r="AX142" s="820">
        <v>41</v>
      </c>
      <c r="AY142" s="820">
        <v>300</v>
      </c>
      <c r="AZ142" s="819">
        <v>198778.32</v>
      </c>
      <c r="BA142" s="819">
        <v>55800</v>
      </c>
      <c r="BB142" s="821">
        <v>90</v>
      </c>
      <c r="BC142" s="821">
        <v>83.730177419354803</v>
      </c>
      <c r="BD142" s="821">
        <v>10.16</v>
      </c>
      <c r="BE142" s="821"/>
      <c r="BF142" s="817" t="s">
        <v>815</v>
      </c>
      <c r="BG142" s="814"/>
      <c r="BH142" s="817" t="s">
        <v>816</v>
      </c>
      <c r="BI142" s="817" t="s">
        <v>817</v>
      </c>
      <c r="BJ142" s="817"/>
      <c r="BK142" s="817" t="s">
        <v>338</v>
      </c>
      <c r="BL142" s="815" t="s">
        <v>2</v>
      </c>
      <c r="BM142" s="821">
        <v>426117.38165224</v>
      </c>
      <c r="BN142" s="815" t="s">
        <v>740</v>
      </c>
      <c r="BO142" s="821"/>
      <c r="BP142" s="822">
        <v>37594</v>
      </c>
      <c r="BQ142" s="822">
        <v>46721</v>
      </c>
      <c r="BR142" s="821">
        <v>33925.760000000002</v>
      </c>
      <c r="BS142" s="821">
        <v>65.03</v>
      </c>
      <c r="BT142" s="821">
        <v>42.29</v>
      </c>
    </row>
    <row r="143" spans="1:72" s="802" customFormat="1" ht="18.2" customHeight="1" x14ac:dyDescent="0.15">
      <c r="A143" s="805">
        <v>141</v>
      </c>
      <c r="B143" s="806" t="s">
        <v>413</v>
      </c>
      <c r="C143" s="806" t="s">
        <v>25</v>
      </c>
      <c r="D143" s="807">
        <v>45505</v>
      </c>
      <c r="E143" s="808" t="s">
        <v>936</v>
      </c>
      <c r="F143" s="809">
        <v>0</v>
      </c>
      <c r="G143" s="809">
        <v>0</v>
      </c>
      <c r="H143" s="810">
        <v>31897.54</v>
      </c>
      <c r="I143" s="810">
        <v>0</v>
      </c>
      <c r="J143" s="810">
        <v>0</v>
      </c>
      <c r="K143" s="810">
        <v>31897.54</v>
      </c>
      <c r="L143" s="810">
        <v>899.05</v>
      </c>
      <c r="M143" s="810">
        <v>0</v>
      </c>
      <c r="N143" s="810">
        <v>0</v>
      </c>
      <c r="O143" s="810">
        <v>0</v>
      </c>
      <c r="P143" s="810">
        <v>899.05</v>
      </c>
      <c r="Q143" s="810">
        <v>0</v>
      </c>
      <c r="R143" s="810">
        <v>0</v>
      </c>
      <c r="S143" s="810">
        <v>30998.49</v>
      </c>
      <c r="T143" s="810">
        <v>0</v>
      </c>
      <c r="U143" s="810">
        <v>266.08</v>
      </c>
      <c r="V143" s="810">
        <v>0</v>
      </c>
      <c r="W143" s="810">
        <v>0</v>
      </c>
      <c r="X143" s="810">
        <v>266.08</v>
      </c>
      <c r="Y143" s="810">
        <v>0</v>
      </c>
      <c r="Z143" s="810">
        <v>0</v>
      </c>
      <c r="AA143" s="810">
        <v>0</v>
      </c>
      <c r="AB143" s="810">
        <v>125.06</v>
      </c>
      <c r="AC143" s="810">
        <v>66.91</v>
      </c>
      <c r="AD143" s="810">
        <v>0</v>
      </c>
      <c r="AE143" s="810">
        <v>0</v>
      </c>
      <c r="AF143" s="810">
        <v>0</v>
      </c>
      <c r="AG143" s="810">
        <v>0</v>
      </c>
      <c r="AH143" s="810">
        <v>68.510000000000005</v>
      </c>
      <c r="AI143" s="810">
        <v>80.34</v>
      </c>
      <c r="AJ143" s="810">
        <v>0</v>
      </c>
      <c r="AK143" s="810">
        <v>17.59</v>
      </c>
      <c r="AL143" s="810">
        <v>0</v>
      </c>
      <c r="AM143" s="810">
        <v>0</v>
      </c>
      <c r="AN143" s="810">
        <v>0</v>
      </c>
      <c r="AO143" s="810">
        <v>0</v>
      </c>
      <c r="AP143" s="810">
        <v>0</v>
      </c>
      <c r="AQ143" s="810">
        <v>0</v>
      </c>
      <c r="AR143" s="810">
        <v>0</v>
      </c>
      <c r="AS143" s="810">
        <v>1.2179999999999999E-3</v>
      </c>
      <c r="AT143" s="810">
        <v>66.91</v>
      </c>
      <c r="AU143" s="810">
        <f t="shared" si="2"/>
        <v>1456.6287819999998</v>
      </c>
      <c r="AV143" s="810">
        <v>0</v>
      </c>
      <c r="AW143" s="810">
        <v>0</v>
      </c>
      <c r="AX143" s="811">
        <v>38</v>
      </c>
      <c r="AY143" s="811">
        <v>300</v>
      </c>
      <c r="AZ143" s="810">
        <v>455299.47</v>
      </c>
      <c r="BA143" s="810">
        <v>128120</v>
      </c>
      <c r="BB143" s="812">
        <v>90</v>
      </c>
      <c r="BC143" s="812">
        <v>21.775398844832999</v>
      </c>
      <c r="BD143" s="812">
        <v>10.01</v>
      </c>
      <c r="BE143" s="812"/>
      <c r="BF143" s="808" t="s">
        <v>815</v>
      </c>
      <c r="BG143" s="805"/>
      <c r="BH143" s="808" t="s">
        <v>816</v>
      </c>
      <c r="BI143" s="808" t="s">
        <v>820</v>
      </c>
      <c r="BJ143" s="808"/>
      <c r="BK143" s="808" t="s">
        <v>309</v>
      </c>
      <c r="BL143" s="806" t="s">
        <v>2</v>
      </c>
      <c r="BM143" s="812">
        <v>254446.26940056001</v>
      </c>
      <c r="BN143" s="806" t="s">
        <v>740</v>
      </c>
      <c r="BO143" s="812"/>
      <c r="BP143" s="813">
        <v>37588</v>
      </c>
      <c r="BQ143" s="813">
        <v>46692</v>
      </c>
      <c r="BR143" s="812">
        <v>0</v>
      </c>
      <c r="BS143" s="812">
        <v>125.06</v>
      </c>
      <c r="BT143" s="812">
        <v>84.5</v>
      </c>
    </row>
    <row r="144" spans="1:72" s="802" customFormat="1" ht="18.2" customHeight="1" x14ac:dyDescent="0.15">
      <c r="A144" s="814">
        <v>142</v>
      </c>
      <c r="B144" s="815" t="s">
        <v>413</v>
      </c>
      <c r="C144" s="815" t="s">
        <v>25</v>
      </c>
      <c r="D144" s="816">
        <v>45505</v>
      </c>
      <c r="E144" s="817" t="s">
        <v>937</v>
      </c>
      <c r="F144" s="818">
        <v>0</v>
      </c>
      <c r="G144" s="818">
        <v>0</v>
      </c>
      <c r="H144" s="819">
        <v>13963.49</v>
      </c>
      <c r="I144" s="819">
        <v>0</v>
      </c>
      <c r="J144" s="819">
        <v>0</v>
      </c>
      <c r="K144" s="819">
        <v>13963.49</v>
      </c>
      <c r="L144" s="819">
        <v>970.97</v>
      </c>
      <c r="M144" s="819">
        <v>0</v>
      </c>
      <c r="N144" s="819">
        <v>0</v>
      </c>
      <c r="O144" s="819">
        <v>0</v>
      </c>
      <c r="P144" s="819">
        <v>970.97</v>
      </c>
      <c r="Q144" s="819">
        <v>0</v>
      </c>
      <c r="R144" s="819">
        <v>0</v>
      </c>
      <c r="S144" s="819">
        <v>12992.52</v>
      </c>
      <c r="T144" s="819">
        <v>0</v>
      </c>
      <c r="U144" s="819">
        <v>116.48</v>
      </c>
      <c r="V144" s="819">
        <v>0</v>
      </c>
      <c r="W144" s="819">
        <v>0</v>
      </c>
      <c r="X144" s="819">
        <v>116.48</v>
      </c>
      <c r="Y144" s="819">
        <v>0</v>
      </c>
      <c r="Z144" s="819">
        <v>0</v>
      </c>
      <c r="AA144" s="819">
        <v>0</v>
      </c>
      <c r="AB144" s="819">
        <v>116.72</v>
      </c>
      <c r="AC144" s="819">
        <v>84.5</v>
      </c>
      <c r="AD144" s="819">
        <v>0</v>
      </c>
      <c r="AE144" s="819">
        <v>0</v>
      </c>
      <c r="AF144" s="819">
        <v>0</v>
      </c>
      <c r="AG144" s="819">
        <v>0</v>
      </c>
      <c r="AH144" s="819">
        <v>63.95</v>
      </c>
      <c r="AI144" s="819">
        <v>75.05</v>
      </c>
      <c r="AJ144" s="819">
        <v>0</v>
      </c>
      <c r="AK144" s="819">
        <v>0</v>
      </c>
      <c r="AL144" s="819">
        <v>0</v>
      </c>
      <c r="AM144" s="819">
        <v>0</v>
      </c>
      <c r="AN144" s="819">
        <v>0</v>
      </c>
      <c r="AO144" s="819">
        <v>0</v>
      </c>
      <c r="AP144" s="819">
        <v>0</v>
      </c>
      <c r="AQ144" s="819">
        <v>1E-3</v>
      </c>
      <c r="AR144" s="819">
        <v>0</v>
      </c>
      <c r="AS144" s="819">
        <v>0</v>
      </c>
      <c r="AT144" s="819">
        <v>0</v>
      </c>
      <c r="AU144" s="819">
        <f t="shared" si="2"/>
        <v>1427.671</v>
      </c>
      <c r="AV144" s="819">
        <v>0</v>
      </c>
      <c r="AW144" s="819">
        <v>0</v>
      </c>
      <c r="AX144" s="820">
        <v>38</v>
      </c>
      <c r="AY144" s="820">
        <v>300</v>
      </c>
      <c r="AZ144" s="819">
        <v>455483.97</v>
      </c>
      <c r="BA144" s="819">
        <v>119578</v>
      </c>
      <c r="BB144" s="821">
        <v>84</v>
      </c>
      <c r="BC144" s="821">
        <v>9.1268601247721204</v>
      </c>
      <c r="BD144" s="821">
        <v>10.01</v>
      </c>
      <c r="BE144" s="821"/>
      <c r="BF144" s="817" t="s">
        <v>815</v>
      </c>
      <c r="BG144" s="814"/>
      <c r="BH144" s="817" t="s">
        <v>816</v>
      </c>
      <c r="BI144" s="817" t="s">
        <v>820</v>
      </c>
      <c r="BJ144" s="817"/>
      <c r="BK144" s="817" t="s">
        <v>309</v>
      </c>
      <c r="BL144" s="815" t="s">
        <v>2</v>
      </c>
      <c r="BM144" s="821">
        <v>106647.07358688</v>
      </c>
      <c r="BN144" s="815" t="s">
        <v>740</v>
      </c>
      <c r="BO144" s="821"/>
      <c r="BP144" s="822">
        <v>37589</v>
      </c>
      <c r="BQ144" s="822">
        <v>46692</v>
      </c>
      <c r="BR144" s="821">
        <v>0</v>
      </c>
      <c r="BS144" s="821">
        <v>116.72</v>
      </c>
      <c r="BT144" s="821">
        <v>84.5</v>
      </c>
    </row>
    <row r="145" spans="1:72" s="802" customFormat="1" ht="18.2" customHeight="1" x14ac:dyDescent="0.15">
      <c r="A145" s="805">
        <v>143</v>
      </c>
      <c r="B145" s="806" t="s">
        <v>413</v>
      </c>
      <c r="C145" s="806" t="s">
        <v>25</v>
      </c>
      <c r="D145" s="807">
        <v>45505</v>
      </c>
      <c r="E145" s="808" t="s">
        <v>602</v>
      </c>
      <c r="F145" s="809">
        <v>183</v>
      </c>
      <c r="G145" s="809">
        <v>182</v>
      </c>
      <c r="H145" s="810">
        <v>24607.63</v>
      </c>
      <c r="I145" s="810">
        <v>48653.94</v>
      </c>
      <c r="J145" s="810">
        <v>0</v>
      </c>
      <c r="K145" s="810">
        <v>73261.570000000007</v>
      </c>
      <c r="L145" s="810">
        <v>520.74</v>
      </c>
      <c r="M145" s="810">
        <v>0</v>
      </c>
      <c r="N145" s="810">
        <v>0</v>
      </c>
      <c r="O145" s="810">
        <v>0</v>
      </c>
      <c r="P145" s="810">
        <v>0</v>
      </c>
      <c r="Q145" s="810">
        <v>0</v>
      </c>
      <c r="R145" s="810">
        <v>0</v>
      </c>
      <c r="S145" s="810">
        <v>73261.570000000007</v>
      </c>
      <c r="T145" s="810">
        <v>83401.25</v>
      </c>
      <c r="U145" s="810">
        <v>205.24</v>
      </c>
      <c r="V145" s="810">
        <v>0</v>
      </c>
      <c r="W145" s="810">
        <v>0</v>
      </c>
      <c r="X145" s="810">
        <v>0</v>
      </c>
      <c r="Y145" s="810">
        <v>0</v>
      </c>
      <c r="Z145" s="810">
        <v>0</v>
      </c>
      <c r="AA145" s="810">
        <v>83606.490000000005</v>
      </c>
      <c r="AB145" s="810">
        <v>0</v>
      </c>
      <c r="AC145" s="810">
        <v>0</v>
      </c>
      <c r="AD145" s="810">
        <v>0</v>
      </c>
      <c r="AE145" s="810">
        <v>0</v>
      </c>
      <c r="AF145" s="810">
        <v>0</v>
      </c>
      <c r="AG145" s="810">
        <v>0</v>
      </c>
      <c r="AH145" s="810">
        <v>0</v>
      </c>
      <c r="AI145" s="810">
        <v>0</v>
      </c>
      <c r="AJ145" s="810">
        <v>0</v>
      </c>
      <c r="AK145" s="810">
        <v>0</v>
      </c>
      <c r="AL145" s="810">
        <v>0</v>
      </c>
      <c r="AM145" s="810">
        <v>0</v>
      </c>
      <c r="AN145" s="810">
        <v>0</v>
      </c>
      <c r="AO145" s="810">
        <v>0</v>
      </c>
      <c r="AP145" s="810">
        <v>0</v>
      </c>
      <c r="AQ145" s="810">
        <v>0</v>
      </c>
      <c r="AR145" s="810">
        <v>0</v>
      </c>
      <c r="AS145" s="810">
        <v>0</v>
      </c>
      <c r="AT145" s="810">
        <v>0</v>
      </c>
      <c r="AU145" s="810">
        <f t="shared" si="2"/>
        <v>0</v>
      </c>
      <c r="AV145" s="810">
        <v>49174.68</v>
      </c>
      <c r="AW145" s="810">
        <v>83606.490000000005</v>
      </c>
      <c r="AX145" s="811">
        <v>39</v>
      </c>
      <c r="AY145" s="811">
        <v>300</v>
      </c>
      <c r="AZ145" s="810">
        <v>283805.58</v>
      </c>
      <c r="BA145" s="810">
        <v>79830</v>
      </c>
      <c r="BB145" s="812">
        <v>90</v>
      </c>
      <c r="BC145" s="812">
        <v>82.594780157835402</v>
      </c>
      <c r="BD145" s="812">
        <v>10.01</v>
      </c>
      <c r="BE145" s="812"/>
      <c r="BF145" s="808" t="s">
        <v>815</v>
      </c>
      <c r="BG145" s="805"/>
      <c r="BH145" s="808" t="s">
        <v>540</v>
      </c>
      <c r="BI145" s="808" t="s">
        <v>849</v>
      </c>
      <c r="BJ145" s="808"/>
      <c r="BK145" s="808" t="s">
        <v>338</v>
      </c>
      <c r="BL145" s="806" t="s">
        <v>2</v>
      </c>
      <c r="BM145" s="812">
        <v>601356.16854007996</v>
      </c>
      <c r="BN145" s="806" t="s">
        <v>740</v>
      </c>
      <c r="BO145" s="812"/>
      <c r="BP145" s="813">
        <v>37589</v>
      </c>
      <c r="BQ145" s="813">
        <v>46692</v>
      </c>
      <c r="BR145" s="812">
        <v>38499.65</v>
      </c>
      <c r="BS145" s="812">
        <v>77.92</v>
      </c>
      <c r="BT145" s="812">
        <v>27.89</v>
      </c>
    </row>
    <row r="146" spans="1:72" s="802" customFormat="1" ht="82.7" customHeight="1" x14ac:dyDescent="0.15">
      <c r="A146" s="823" t="s">
        <v>938</v>
      </c>
      <c r="B146" s="823" t="s">
        <v>744</v>
      </c>
      <c r="C146" s="823" t="s">
        <v>745</v>
      </c>
      <c r="D146" s="823" t="s">
        <v>745</v>
      </c>
      <c r="E146" s="823" t="s">
        <v>747</v>
      </c>
      <c r="F146" s="823" t="s">
        <v>939</v>
      </c>
      <c r="G146" s="823" t="s">
        <v>940</v>
      </c>
      <c r="H146" s="823" t="s">
        <v>750</v>
      </c>
      <c r="I146" s="823" t="s">
        <v>751</v>
      </c>
      <c r="J146" s="823" t="s">
        <v>941</v>
      </c>
      <c r="K146" s="823" t="s">
        <v>753</v>
      </c>
      <c r="L146" s="824" t="s">
        <v>754</v>
      </c>
      <c r="M146" s="823" t="s">
        <v>755</v>
      </c>
      <c r="N146" s="823" t="s">
        <v>756</v>
      </c>
      <c r="O146" s="823" t="s">
        <v>757</v>
      </c>
      <c r="P146" s="823" t="s">
        <v>758</v>
      </c>
      <c r="Q146" s="823" t="s">
        <v>759</v>
      </c>
      <c r="R146" s="823" t="s">
        <v>760</v>
      </c>
      <c r="S146" s="823" t="s">
        <v>761</v>
      </c>
      <c r="T146" s="823" t="s">
        <v>762</v>
      </c>
      <c r="U146" s="823" t="s">
        <v>763</v>
      </c>
      <c r="V146" s="823" t="s">
        <v>764</v>
      </c>
      <c r="W146" s="823" t="s">
        <v>765</v>
      </c>
      <c r="X146" s="823" t="s">
        <v>766</v>
      </c>
      <c r="Y146" s="823" t="s">
        <v>767</v>
      </c>
      <c r="Z146" s="823" t="s">
        <v>768</v>
      </c>
      <c r="AA146" s="823" t="s">
        <v>769</v>
      </c>
      <c r="AB146" s="823" t="s">
        <v>770</v>
      </c>
      <c r="AC146" s="823" t="s">
        <v>771</v>
      </c>
      <c r="AD146" s="823" t="s">
        <v>772</v>
      </c>
      <c r="AE146" s="823" t="s">
        <v>773</v>
      </c>
      <c r="AF146" s="823" t="s">
        <v>774</v>
      </c>
      <c r="AG146" s="823" t="s">
        <v>775</v>
      </c>
      <c r="AH146" s="823" t="s">
        <v>776</v>
      </c>
      <c r="AI146" s="823" t="s">
        <v>777</v>
      </c>
      <c r="AJ146" s="823" t="s">
        <v>778</v>
      </c>
      <c r="AK146" s="823" t="s">
        <v>779</v>
      </c>
      <c r="AL146" s="823" t="s">
        <v>780</v>
      </c>
      <c r="AM146" s="823" t="s">
        <v>781</v>
      </c>
      <c r="AN146" s="823" t="s">
        <v>782</v>
      </c>
      <c r="AO146" s="823" t="s">
        <v>783</v>
      </c>
      <c r="AP146" s="823" t="s">
        <v>784</v>
      </c>
      <c r="AQ146" s="823" t="s">
        <v>785</v>
      </c>
      <c r="AR146" s="823" t="s">
        <v>786</v>
      </c>
      <c r="AS146" s="839" t="s">
        <v>787</v>
      </c>
      <c r="AT146" s="839" t="s">
        <v>788</v>
      </c>
      <c r="AU146" s="823" t="s">
        <v>789</v>
      </c>
      <c r="AV146" s="823" t="s">
        <v>790</v>
      </c>
      <c r="AW146" s="823" t="s">
        <v>791</v>
      </c>
      <c r="AX146" s="823" t="s">
        <v>792</v>
      </c>
      <c r="AY146" s="823" t="s">
        <v>793</v>
      </c>
      <c r="AZ146" s="823" t="s">
        <v>794</v>
      </c>
      <c r="BA146" s="823" t="s">
        <v>795</v>
      </c>
      <c r="BB146" s="823" t="s">
        <v>796</v>
      </c>
      <c r="BC146" s="823" t="s">
        <v>797</v>
      </c>
      <c r="BD146" s="823" t="s">
        <v>798</v>
      </c>
      <c r="BE146" s="823" t="s">
        <v>799</v>
      </c>
      <c r="BF146" s="823" t="s">
        <v>800</v>
      </c>
      <c r="BG146" s="823" t="s">
        <v>801</v>
      </c>
      <c r="BH146" s="823" t="s">
        <v>802</v>
      </c>
      <c r="BI146" s="823" t="s">
        <v>803</v>
      </c>
      <c r="BJ146" s="823" t="s">
        <v>804</v>
      </c>
      <c r="BK146" s="823" t="s">
        <v>805</v>
      </c>
      <c r="BL146" s="823" t="s">
        <v>806</v>
      </c>
      <c r="BM146" s="823" t="s">
        <v>807</v>
      </c>
      <c r="BN146" s="823" t="s">
        <v>808</v>
      </c>
      <c r="BO146" s="823" t="s">
        <v>809</v>
      </c>
      <c r="BP146" s="823" t="s">
        <v>942</v>
      </c>
      <c r="BQ146" s="823" t="s">
        <v>943</v>
      </c>
      <c r="BR146" s="824" t="s">
        <v>812</v>
      </c>
      <c r="BS146" s="823" t="s">
        <v>813</v>
      </c>
      <c r="BT146" s="823" t="s">
        <v>814</v>
      </c>
    </row>
    <row r="147" spans="1:72" s="831" customFormat="1" ht="13.35" customHeight="1" x14ac:dyDescent="0.2">
      <c r="A147" s="825" t="s">
        <v>944</v>
      </c>
      <c r="B147" s="826"/>
      <c r="C147" s="826"/>
      <c r="D147" s="826"/>
      <c r="E147" s="826"/>
      <c r="F147" s="827"/>
      <c r="G147" s="827"/>
      <c r="H147" s="828">
        <f>SUMIF($BL$3:$BL$146,"UDIS",H3:H146)</f>
        <v>5119387.7899999972</v>
      </c>
      <c r="I147" s="828">
        <f t="shared" ref="I147:AW147" si="3">SUMIF($BL$3:$BL$146,"UDIS",I3:I146)</f>
        <v>2754573.6899999995</v>
      </c>
      <c r="J147" s="828">
        <f t="shared" si="3"/>
        <v>1.24</v>
      </c>
      <c r="K147" s="828">
        <f t="shared" si="3"/>
        <v>7873961.4800000014</v>
      </c>
      <c r="L147" s="828">
        <f t="shared" si="3"/>
        <v>77204.710000000021</v>
      </c>
      <c r="M147" s="828">
        <f t="shared" si="3"/>
        <v>0</v>
      </c>
      <c r="N147" s="828">
        <f t="shared" si="3"/>
        <v>0</v>
      </c>
      <c r="O147" s="828">
        <f t="shared" si="3"/>
        <v>15903.550000000001</v>
      </c>
      <c r="P147" s="828">
        <f t="shared" si="3"/>
        <v>33207.26</v>
      </c>
      <c r="Q147" s="828">
        <f t="shared" si="3"/>
        <v>1453.62</v>
      </c>
      <c r="R147" s="828">
        <f t="shared" si="3"/>
        <v>0</v>
      </c>
      <c r="S147" s="828">
        <f t="shared" si="3"/>
        <v>7826087.6800000044</v>
      </c>
      <c r="T147" s="828">
        <f t="shared" si="3"/>
        <v>4722473.553710999</v>
      </c>
      <c r="U147" s="828">
        <f t="shared" si="3"/>
        <v>43005.41</v>
      </c>
      <c r="V147" s="828">
        <f t="shared" si="3"/>
        <v>0</v>
      </c>
      <c r="W147" s="828">
        <f t="shared" si="3"/>
        <v>10029.949999999999</v>
      </c>
      <c r="X147" s="828">
        <f t="shared" si="3"/>
        <v>19360.200000000004</v>
      </c>
      <c r="Y147" s="828">
        <f t="shared" si="3"/>
        <v>0</v>
      </c>
      <c r="Z147" s="828">
        <f t="shared" si="3"/>
        <v>0</v>
      </c>
      <c r="AA147" s="828">
        <f t="shared" si="3"/>
        <v>4736088.7837110003</v>
      </c>
      <c r="AB147" s="828">
        <f t="shared" si="3"/>
        <v>5624.7100000000009</v>
      </c>
      <c r="AC147" s="828">
        <f t="shared" si="3"/>
        <v>573.95000000000005</v>
      </c>
      <c r="AD147" s="828">
        <f t="shared" si="3"/>
        <v>200</v>
      </c>
      <c r="AE147" s="828">
        <f t="shared" si="3"/>
        <v>0</v>
      </c>
      <c r="AF147" s="828">
        <f t="shared" si="3"/>
        <v>312.70000000000005</v>
      </c>
      <c r="AG147" s="828">
        <f t="shared" si="3"/>
        <v>0</v>
      </c>
      <c r="AH147" s="828">
        <f t="shared" si="3"/>
        <v>4720.1699999999973</v>
      </c>
      <c r="AI147" s="828">
        <f t="shared" si="3"/>
        <v>4423.1399999999994</v>
      </c>
      <c r="AJ147" s="828">
        <f t="shared" si="3"/>
        <v>2665.9700000000003</v>
      </c>
      <c r="AK147" s="828">
        <f t="shared" si="3"/>
        <v>102.05</v>
      </c>
      <c r="AL147" s="828">
        <f t="shared" si="3"/>
        <v>100</v>
      </c>
      <c r="AM147" s="828">
        <f t="shared" si="3"/>
        <v>601.33000000000004</v>
      </c>
      <c r="AN147" s="828">
        <f t="shared" si="3"/>
        <v>0</v>
      </c>
      <c r="AO147" s="828">
        <f t="shared" si="3"/>
        <v>2531.86</v>
      </c>
      <c r="AP147" s="828">
        <f t="shared" si="3"/>
        <v>2237.6</v>
      </c>
      <c r="AQ147" s="828">
        <f t="shared" si="3"/>
        <v>1275.1789999999999</v>
      </c>
      <c r="AR147" s="828">
        <f t="shared" si="3"/>
        <v>0</v>
      </c>
      <c r="AS147" s="828">
        <f t="shared" si="3"/>
        <v>665.07315800000003</v>
      </c>
      <c r="AT147" s="828">
        <f t="shared" si="3"/>
        <v>409.14</v>
      </c>
      <c r="AU147" s="829">
        <f t="shared" si="3"/>
        <v>104247.78584199997</v>
      </c>
      <c r="AV147" s="828">
        <f t="shared" si="3"/>
        <v>2781110.5200000009</v>
      </c>
      <c r="AW147" s="828">
        <f t="shared" si="3"/>
        <v>4736088.7837110003</v>
      </c>
      <c r="AX147" s="827"/>
      <c r="AY147" s="827"/>
      <c r="AZ147" s="827"/>
      <c r="BA147" s="828">
        <v>13298064.07</v>
      </c>
      <c r="BB147" s="827"/>
      <c r="BC147" s="827">
        <v>7020.4448147452704</v>
      </c>
      <c r="BD147" s="827"/>
      <c r="BE147" s="827"/>
      <c r="BF147" s="827"/>
      <c r="BG147" s="827"/>
      <c r="BH147" s="827"/>
      <c r="BI147" s="827"/>
      <c r="BJ147" s="827"/>
      <c r="BK147" s="827"/>
      <c r="BL147" s="827"/>
      <c r="BM147" s="830"/>
      <c r="BN147" s="827"/>
      <c r="BO147" s="827"/>
      <c r="BP147" s="827"/>
      <c r="BQ147" s="827"/>
      <c r="BR147" s="827">
        <v>2183556.63</v>
      </c>
      <c r="BS147" s="827"/>
      <c r="BT147" s="827"/>
    </row>
    <row r="148" spans="1:72" s="831" customFormat="1" ht="13.35" customHeight="1" x14ac:dyDescent="0.2">
      <c r="A148" s="825" t="s">
        <v>945</v>
      </c>
      <c r="B148" s="826"/>
      <c r="C148" s="826"/>
      <c r="D148" s="826"/>
      <c r="E148" s="826"/>
      <c r="F148" s="827"/>
      <c r="G148" s="830" t="s">
        <v>952</v>
      </c>
      <c r="H148" s="828">
        <f>SUMIF($BL$3:$BL$146,"PESOS",H3:H146)</f>
        <v>0</v>
      </c>
      <c r="I148" s="828">
        <f t="shared" ref="I148:AW148" si="4">SUMIF($BL$3:$BL$146,"PESOS",I3:I146)</f>
        <v>0</v>
      </c>
      <c r="J148" s="828">
        <f t="shared" si="4"/>
        <v>0</v>
      </c>
      <c r="K148" s="828">
        <f t="shared" si="4"/>
        <v>0</v>
      </c>
      <c r="L148" s="828">
        <f t="shared" si="4"/>
        <v>0</v>
      </c>
      <c r="M148" s="828">
        <f t="shared" si="4"/>
        <v>0</v>
      </c>
      <c r="N148" s="828">
        <f t="shared" si="4"/>
        <v>0</v>
      </c>
      <c r="O148" s="828">
        <f t="shared" si="4"/>
        <v>0</v>
      </c>
      <c r="P148" s="828">
        <f t="shared" si="4"/>
        <v>0</v>
      </c>
      <c r="Q148" s="828">
        <f t="shared" si="4"/>
        <v>0</v>
      </c>
      <c r="R148" s="828">
        <f t="shared" si="4"/>
        <v>0</v>
      </c>
      <c r="S148" s="828">
        <f t="shared" si="4"/>
        <v>0</v>
      </c>
      <c r="T148" s="828">
        <f t="shared" si="4"/>
        <v>0</v>
      </c>
      <c r="U148" s="828">
        <f t="shared" si="4"/>
        <v>0</v>
      </c>
      <c r="V148" s="828">
        <f t="shared" si="4"/>
        <v>0</v>
      </c>
      <c r="W148" s="828">
        <f t="shared" si="4"/>
        <v>0</v>
      </c>
      <c r="X148" s="828">
        <f t="shared" si="4"/>
        <v>0</v>
      </c>
      <c r="Y148" s="828">
        <f t="shared" si="4"/>
        <v>0</v>
      </c>
      <c r="Z148" s="828">
        <f t="shared" si="4"/>
        <v>0</v>
      </c>
      <c r="AA148" s="828">
        <f t="shared" si="4"/>
        <v>0</v>
      </c>
      <c r="AB148" s="828">
        <f t="shared" si="4"/>
        <v>0</v>
      </c>
      <c r="AC148" s="828">
        <f t="shared" si="4"/>
        <v>0</v>
      </c>
      <c r="AD148" s="828">
        <f t="shared" si="4"/>
        <v>0</v>
      </c>
      <c r="AE148" s="828">
        <f t="shared" si="4"/>
        <v>0</v>
      </c>
      <c r="AF148" s="828">
        <f t="shared" si="4"/>
        <v>0</v>
      </c>
      <c r="AG148" s="828">
        <f t="shared" si="4"/>
        <v>0</v>
      </c>
      <c r="AH148" s="828">
        <f t="shared" si="4"/>
        <v>0</v>
      </c>
      <c r="AI148" s="828">
        <f t="shared" si="4"/>
        <v>0</v>
      </c>
      <c r="AJ148" s="828">
        <f t="shared" si="4"/>
        <v>0</v>
      </c>
      <c r="AK148" s="828">
        <f t="shared" si="4"/>
        <v>0</v>
      </c>
      <c r="AL148" s="828">
        <f t="shared" si="4"/>
        <v>0</v>
      </c>
      <c r="AM148" s="828">
        <f t="shared" si="4"/>
        <v>0</v>
      </c>
      <c r="AN148" s="828">
        <f t="shared" si="4"/>
        <v>0</v>
      </c>
      <c r="AO148" s="828">
        <f t="shared" si="4"/>
        <v>0</v>
      </c>
      <c r="AP148" s="828">
        <f t="shared" si="4"/>
        <v>0</v>
      </c>
      <c r="AQ148" s="828">
        <f t="shared" si="4"/>
        <v>0</v>
      </c>
      <c r="AR148" s="828">
        <f t="shared" si="4"/>
        <v>0</v>
      </c>
      <c r="AS148" s="828">
        <f t="shared" si="4"/>
        <v>0</v>
      </c>
      <c r="AT148" s="828">
        <f t="shared" si="4"/>
        <v>0</v>
      </c>
      <c r="AU148" s="829">
        <f t="shared" si="4"/>
        <v>0</v>
      </c>
      <c r="AV148" s="828">
        <f t="shared" si="4"/>
        <v>0</v>
      </c>
      <c r="AW148" s="828">
        <f t="shared" si="4"/>
        <v>0</v>
      </c>
      <c r="AX148" s="827"/>
      <c r="AY148" s="827"/>
      <c r="AZ148" s="827"/>
      <c r="BA148" s="828">
        <v>0</v>
      </c>
      <c r="BB148" s="827"/>
      <c r="BC148" s="828">
        <v>0</v>
      </c>
      <c r="BD148" s="827"/>
      <c r="BE148" s="827"/>
      <c r="BF148" s="827"/>
      <c r="BG148" s="827"/>
      <c r="BH148" s="827"/>
      <c r="BI148" s="827"/>
      <c r="BJ148" s="827"/>
      <c r="BK148" s="827"/>
      <c r="BL148" s="830" t="s">
        <v>946</v>
      </c>
      <c r="BM148" s="828">
        <v>64239219.851601899</v>
      </c>
      <c r="BN148" s="827"/>
      <c r="BO148" s="827"/>
      <c r="BP148" s="827"/>
      <c r="BQ148" s="827"/>
      <c r="BR148" s="827">
        <v>0</v>
      </c>
      <c r="BS148" s="827"/>
      <c r="BT148" s="827"/>
    </row>
    <row r="149" spans="1:72" s="802" customFormat="1" ht="18.2" customHeight="1" x14ac:dyDescent="0.15">
      <c r="A149" s="832" t="s">
        <v>947</v>
      </c>
      <c r="B149" s="833"/>
      <c r="C149" s="833"/>
      <c r="D149" s="833"/>
      <c r="E149" s="833"/>
      <c r="F149" s="833"/>
      <c r="G149" s="833"/>
      <c r="H149" s="832"/>
      <c r="I149" s="833"/>
      <c r="J149" s="833"/>
      <c r="K149" s="833"/>
      <c r="L149" s="833"/>
      <c r="M149" s="833"/>
      <c r="N149" s="833"/>
      <c r="O149" s="833"/>
      <c r="P149" s="833"/>
      <c r="Q149" s="833"/>
      <c r="R149" s="833"/>
      <c r="S149" s="833"/>
      <c r="T149" s="833"/>
      <c r="U149" s="833"/>
      <c r="V149" s="834"/>
      <c r="W149" s="834"/>
      <c r="X149" s="834"/>
      <c r="Y149" s="834"/>
      <c r="Z149" s="834"/>
      <c r="AA149" s="834"/>
      <c r="AB149" s="834"/>
      <c r="AC149" s="833"/>
      <c r="AD149" s="833"/>
      <c r="AE149" s="833"/>
      <c r="AF149" s="833"/>
      <c r="AG149" s="833"/>
      <c r="AH149" s="833"/>
      <c r="AI149" s="833"/>
      <c r="AJ149" s="835"/>
      <c r="AK149" s="835"/>
      <c r="AL149" s="835"/>
      <c r="AM149" s="835"/>
      <c r="AN149" s="835"/>
      <c r="AO149" s="835"/>
      <c r="AP149" s="835"/>
      <c r="AQ149" s="835"/>
      <c r="AR149" s="835"/>
      <c r="AS149" s="835"/>
      <c r="AT149" s="835"/>
      <c r="AU149" s="835"/>
      <c r="AV149" s="835"/>
      <c r="AW149" s="835"/>
      <c r="AX149" s="836">
        <v>57.811188811188799</v>
      </c>
      <c r="AY149" s="836">
        <v>321.81818181818198</v>
      </c>
      <c r="AZ149" s="837">
        <v>346841.24528924498</v>
      </c>
      <c r="BA149" s="837">
        <v>92993.455034964994</v>
      </c>
      <c r="BB149" s="834"/>
      <c r="BC149" s="834">
        <v>49.094019683533297</v>
      </c>
      <c r="BD149" s="834">
        <v>10.0857555295624</v>
      </c>
      <c r="BE149" s="835"/>
      <c r="BF149" s="835"/>
      <c r="BG149" s="835"/>
      <c r="BH149" s="835"/>
      <c r="BI149" s="835"/>
      <c r="BJ149" s="835"/>
      <c r="BK149" s="835"/>
      <c r="BL149" s="835"/>
      <c r="BM149" s="835"/>
      <c r="BN149" s="835"/>
      <c r="BO149" s="835"/>
      <c r="BP149" s="835"/>
      <c r="BQ149" s="835"/>
      <c r="BR149" s="835"/>
      <c r="BS149" s="835"/>
      <c r="BT149" s="835"/>
    </row>
    <row r="150" spans="1:72" s="802" customFormat="1" ht="28.7" customHeight="1" x14ac:dyDescent="0.15"/>
    <row r="151" spans="1:72" x14ac:dyDescent="0.2">
      <c r="AU151" s="845">
        <f>+'REPORTE COBRANZA N'!C35</f>
        <v>102410.62248593703</v>
      </c>
    </row>
    <row r="154" spans="1:72" x14ac:dyDescent="0.2">
      <c r="AU154" s="845">
        <f>+AU147-AU151</f>
        <v>1837.1633560629416</v>
      </c>
    </row>
    <row r="155" spans="1:72" x14ac:dyDescent="0.2">
      <c r="AT155" s="846" t="s">
        <v>1031</v>
      </c>
      <c r="AU155" s="872">
        <f>+'REPORTE COBRANZA N'!C34</f>
        <v>1837.16335606297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1EE-D11B-4875-B366-840D87CC3992}">
  <sheetPr filterMode="1"/>
  <dimension ref="A1:R102"/>
  <sheetViews>
    <sheetView topLeftCell="C1" workbookViewId="0">
      <pane ySplit="1" topLeftCell="A83" activePane="bottomLeft" state="frozen"/>
      <selection pane="bottomLeft" activeCell="N1" sqref="N1"/>
    </sheetView>
  </sheetViews>
  <sheetFormatPr baseColWidth="10" defaultRowHeight="15" x14ac:dyDescent="0.25"/>
  <cols>
    <col min="2" max="2" width="12.5703125" customWidth="1"/>
    <col min="14" max="14" width="13.140625" bestFit="1" customWidth="1"/>
    <col min="16" max="16" width="14.140625" bestFit="1" customWidth="1"/>
  </cols>
  <sheetData>
    <row r="1" spans="1:18" ht="50.25" customHeight="1" x14ac:dyDescent="0.25">
      <c r="A1" s="848" t="s">
        <v>1044</v>
      </c>
      <c r="B1" s="849" t="s">
        <v>1045</v>
      </c>
      <c r="C1" s="849" t="s">
        <v>1046</v>
      </c>
      <c r="D1" s="849" t="s">
        <v>418</v>
      </c>
      <c r="E1" s="849" t="s">
        <v>1047</v>
      </c>
      <c r="F1" s="849" t="s">
        <v>1048</v>
      </c>
      <c r="G1" s="849" t="s">
        <v>419</v>
      </c>
      <c r="H1" s="849" t="s">
        <v>1049</v>
      </c>
      <c r="I1" s="849" t="s">
        <v>1050</v>
      </c>
      <c r="J1" s="849" t="s">
        <v>1051</v>
      </c>
      <c r="K1" s="849" t="s">
        <v>1052</v>
      </c>
      <c r="L1" s="850" t="s">
        <v>1053</v>
      </c>
      <c r="M1" s="849" t="s">
        <v>1054</v>
      </c>
      <c r="N1" s="849" t="s">
        <v>1055</v>
      </c>
      <c r="O1" s="849" t="s">
        <v>1056</v>
      </c>
      <c r="P1" s="849" t="s">
        <v>1057</v>
      </c>
      <c r="Q1" s="849" t="s">
        <v>1058</v>
      </c>
      <c r="R1" s="849" t="s">
        <v>1059</v>
      </c>
    </row>
    <row r="2" spans="1:18" hidden="1" x14ac:dyDescent="0.25">
      <c r="A2" s="851" t="s">
        <v>1060</v>
      </c>
      <c r="B2" s="851" t="s">
        <v>1060</v>
      </c>
      <c r="C2" s="852" t="s">
        <v>739</v>
      </c>
      <c r="D2" s="853" t="s">
        <v>1061</v>
      </c>
      <c r="E2" s="853" t="s">
        <v>1061</v>
      </c>
      <c r="F2" s="852" t="s">
        <v>1062</v>
      </c>
      <c r="G2" s="853" t="s">
        <v>540</v>
      </c>
      <c r="H2" s="854" t="s">
        <v>849</v>
      </c>
      <c r="I2" s="854" t="s">
        <v>1063</v>
      </c>
      <c r="J2" s="854" t="s">
        <v>1064</v>
      </c>
      <c r="K2" s="851" t="s">
        <v>1065</v>
      </c>
      <c r="L2" s="855">
        <v>42186</v>
      </c>
      <c r="M2" s="854" t="s">
        <v>1066</v>
      </c>
      <c r="N2" s="856">
        <v>71227.17</v>
      </c>
      <c r="O2" s="857">
        <v>5.1494049999999998</v>
      </c>
      <c r="P2" s="856">
        <f t="shared" ref="P2:P60" si="0">+N2*O2</f>
        <v>366777.54533384996</v>
      </c>
      <c r="Q2" s="858">
        <v>41760</v>
      </c>
    </row>
    <row r="3" spans="1:18" hidden="1" x14ac:dyDescent="0.25">
      <c r="A3" s="851" t="s">
        <v>1067</v>
      </c>
      <c r="B3" s="851" t="s">
        <v>1067</v>
      </c>
      <c r="C3" s="852" t="s">
        <v>739</v>
      </c>
      <c r="D3" s="853" t="s">
        <v>1061</v>
      </c>
      <c r="E3" s="853" t="s">
        <v>1061</v>
      </c>
      <c r="F3" s="852" t="s">
        <v>1068</v>
      </c>
      <c r="G3" s="853" t="s">
        <v>834</v>
      </c>
      <c r="H3" s="854" t="s">
        <v>1069</v>
      </c>
      <c r="I3" s="854" t="s">
        <v>1070</v>
      </c>
      <c r="J3" s="854" t="s">
        <v>1071</v>
      </c>
      <c r="K3" s="851" t="s">
        <v>1072</v>
      </c>
      <c r="L3" s="855">
        <v>41456</v>
      </c>
      <c r="M3" s="854" t="s">
        <v>1066</v>
      </c>
      <c r="N3" s="856">
        <v>96096.89</v>
      </c>
      <c r="O3" s="857">
        <v>4.8754580000000001</v>
      </c>
      <c r="P3" s="856">
        <f t="shared" si="0"/>
        <v>468516.35112562001</v>
      </c>
      <c r="Q3" s="858">
        <v>41275</v>
      </c>
    </row>
    <row r="4" spans="1:18" hidden="1" x14ac:dyDescent="0.25">
      <c r="A4" s="851" t="s">
        <v>1073</v>
      </c>
      <c r="B4" s="851" t="s">
        <v>1073</v>
      </c>
      <c r="C4" s="852" t="s">
        <v>739</v>
      </c>
      <c r="D4" s="853" t="s">
        <v>1061</v>
      </c>
      <c r="E4" s="853" t="s">
        <v>1061</v>
      </c>
      <c r="F4" s="852" t="s">
        <v>1074</v>
      </c>
      <c r="G4" s="853" t="s">
        <v>816</v>
      </c>
      <c r="H4" s="854" t="s">
        <v>817</v>
      </c>
      <c r="I4" s="854" t="s">
        <v>1075</v>
      </c>
      <c r="J4" s="854" t="s">
        <v>1076</v>
      </c>
      <c r="K4" s="851" t="s">
        <v>1072</v>
      </c>
      <c r="L4" s="855">
        <v>42248</v>
      </c>
      <c r="M4" s="854" t="s">
        <v>1066</v>
      </c>
      <c r="N4" s="856">
        <v>52252.160000000003</v>
      </c>
      <c r="O4" s="857">
        <v>4.7863769999999999</v>
      </c>
      <c r="P4" s="856">
        <f t="shared" si="0"/>
        <v>250098.53682432001</v>
      </c>
      <c r="Q4" s="858">
        <v>41153</v>
      </c>
    </row>
    <row r="5" spans="1:18" hidden="1" x14ac:dyDescent="0.25">
      <c r="A5" s="851" t="s">
        <v>1077</v>
      </c>
      <c r="B5" s="851" t="s">
        <v>1077</v>
      </c>
      <c r="C5" s="852" t="s">
        <v>739</v>
      </c>
      <c r="D5" s="853" t="s">
        <v>1061</v>
      </c>
      <c r="E5" s="853" t="s">
        <v>1061</v>
      </c>
      <c r="F5" s="852" t="s">
        <v>1078</v>
      </c>
      <c r="G5" s="853" t="s">
        <v>540</v>
      </c>
      <c r="H5" s="854" t="s">
        <v>849</v>
      </c>
      <c r="I5" s="854" t="s">
        <v>1063</v>
      </c>
      <c r="J5" s="854" t="s">
        <v>1079</v>
      </c>
      <c r="K5" s="851" t="s">
        <v>1065</v>
      </c>
      <c r="L5" s="855">
        <v>42248</v>
      </c>
      <c r="M5" s="854" t="s">
        <v>1066</v>
      </c>
      <c r="N5" s="856">
        <v>71178.66</v>
      </c>
      <c r="O5" s="857">
        <v>5.1494049999999998</v>
      </c>
      <c r="P5" s="856">
        <f t="shared" si="0"/>
        <v>366527.74769729999</v>
      </c>
      <c r="Q5" s="858">
        <v>41760</v>
      </c>
    </row>
    <row r="6" spans="1:18" hidden="1" x14ac:dyDescent="0.25">
      <c r="A6" s="851" t="s">
        <v>1080</v>
      </c>
      <c r="B6" s="851" t="s">
        <v>1080</v>
      </c>
      <c r="C6" s="852" t="s">
        <v>739</v>
      </c>
      <c r="D6" s="853" t="s">
        <v>1061</v>
      </c>
      <c r="E6" s="853" t="s">
        <v>1061</v>
      </c>
      <c r="F6" s="852" t="s">
        <v>1081</v>
      </c>
      <c r="G6" s="853" t="s">
        <v>540</v>
      </c>
      <c r="H6" s="854" t="s">
        <v>849</v>
      </c>
      <c r="I6" s="854" t="s">
        <v>1063</v>
      </c>
      <c r="J6" s="854" t="s">
        <v>1082</v>
      </c>
      <c r="K6" s="851" t="s">
        <v>1065</v>
      </c>
      <c r="L6" s="855">
        <v>42248</v>
      </c>
      <c r="M6" s="854" t="s">
        <v>1066</v>
      </c>
      <c r="N6" s="856">
        <v>75255.839999999997</v>
      </c>
      <c r="O6" s="857">
        <v>5.179748</v>
      </c>
      <c r="P6" s="856">
        <f t="shared" si="0"/>
        <v>389806.28672832</v>
      </c>
      <c r="Q6" s="858">
        <v>41913</v>
      </c>
    </row>
    <row r="7" spans="1:18" hidden="1" x14ac:dyDescent="0.25">
      <c r="A7" s="851" t="s">
        <v>1083</v>
      </c>
      <c r="B7" s="851" t="s">
        <v>1083</v>
      </c>
      <c r="C7" s="852" t="s">
        <v>739</v>
      </c>
      <c r="D7" s="853" t="s">
        <v>1061</v>
      </c>
      <c r="E7" s="853" t="s">
        <v>1061</v>
      </c>
      <c r="F7" s="852" t="s">
        <v>1084</v>
      </c>
      <c r="G7" s="853" t="s">
        <v>833</v>
      </c>
      <c r="H7" s="854" t="s">
        <v>1085</v>
      </c>
      <c r="I7" s="854" t="s">
        <v>1086</v>
      </c>
      <c r="J7" s="854" t="s">
        <v>1087</v>
      </c>
      <c r="K7" s="851" t="s">
        <v>1065</v>
      </c>
      <c r="L7" s="855">
        <v>42278</v>
      </c>
      <c r="M7" s="854" t="s">
        <v>1066</v>
      </c>
      <c r="N7" s="856">
        <v>134475.95000000001</v>
      </c>
      <c r="O7" s="857">
        <v>4.8062189999999996</v>
      </c>
      <c r="P7" s="856">
        <f t="shared" si="0"/>
        <v>646320.86593305005</v>
      </c>
      <c r="Q7" s="858">
        <v>41183</v>
      </c>
    </row>
    <row r="8" spans="1:18" hidden="1" x14ac:dyDescent="0.25">
      <c r="A8" s="851" t="s">
        <v>1088</v>
      </c>
      <c r="B8" s="851" t="s">
        <v>1088</v>
      </c>
      <c r="C8" s="852" t="s">
        <v>739</v>
      </c>
      <c r="D8" s="853" t="s">
        <v>1061</v>
      </c>
      <c r="E8" s="853" t="s">
        <v>1061</v>
      </c>
      <c r="F8" s="852" t="s">
        <v>1089</v>
      </c>
      <c r="G8" s="853" t="s">
        <v>816</v>
      </c>
      <c r="H8" s="854" t="s">
        <v>820</v>
      </c>
      <c r="I8" s="854" t="s">
        <v>1090</v>
      </c>
      <c r="J8" s="854" t="s">
        <v>1091</v>
      </c>
      <c r="K8" s="851" t="s">
        <v>1065</v>
      </c>
      <c r="L8" s="855">
        <v>42430</v>
      </c>
      <c r="M8" s="854" t="s">
        <v>1066</v>
      </c>
      <c r="N8" s="856">
        <v>89086.080000000002</v>
      </c>
      <c r="O8" s="857">
        <v>5.2772360000000003</v>
      </c>
      <c r="P8" s="856">
        <f t="shared" si="0"/>
        <v>470128.26847488002</v>
      </c>
      <c r="Q8" s="858">
        <v>42186</v>
      </c>
    </row>
    <row r="9" spans="1:18" hidden="1" x14ac:dyDescent="0.25">
      <c r="A9" s="851" t="s">
        <v>1092</v>
      </c>
      <c r="B9" s="851" t="s">
        <v>1092</v>
      </c>
      <c r="C9" s="852" t="s">
        <v>739</v>
      </c>
      <c r="D9" s="853" t="s">
        <v>1061</v>
      </c>
      <c r="E9" s="853" t="s">
        <v>1061</v>
      </c>
      <c r="F9" s="852" t="s">
        <v>1093</v>
      </c>
      <c r="G9" s="853" t="s">
        <v>816</v>
      </c>
      <c r="H9" s="854" t="s">
        <v>817</v>
      </c>
      <c r="I9" s="854" t="s">
        <v>1094</v>
      </c>
      <c r="J9" s="854" t="s">
        <v>1095</v>
      </c>
      <c r="K9" s="851" t="s">
        <v>1065</v>
      </c>
      <c r="L9" s="855">
        <v>42461</v>
      </c>
      <c r="M9" s="854" t="s">
        <v>1066</v>
      </c>
      <c r="N9" s="856">
        <v>51912.71</v>
      </c>
      <c r="O9" s="857">
        <v>5.2019169999999999</v>
      </c>
      <c r="P9" s="856">
        <f t="shared" si="0"/>
        <v>270045.60866506997</v>
      </c>
      <c r="Q9" s="858">
        <v>41944</v>
      </c>
    </row>
    <row r="10" spans="1:18" hidden="1" x14ac:dyDescent="0.25">
      <c r="A10" s="851" t="s">
        <v>1096</v>
      </c>
      <c r="B10" s="851" t="s">
        <v>1096</v>
      </c>
      <c r="C10" s="852" t="s">
        <v>739</v>
      </c>
      <c r="D10" s="853" t="s">
        <v>1061</v>
      </c>
      <c r="E10" s="853" t="s">
        <v>1061</v>
      </c>
      <c r="F10" s="852" t="s">
        <v>1097</v>
      </c>
      <c r="G10" s="853" t="s">
        <v>816</v>
      </c>
      <c r="H10" s="854" t="s">
        <v>820</v>
      </c>
      <c r="I10" s="854" t="s">
        <v>1098</v>
      </c>
      <c r="J10" s="854" t="s">
        <v>1099</v>
      </c>
      <c r="K10" s="851" t="s">
        <v>1072</v>
      </c>
      <c r="L10" s="855">
        <v>42461</v>
      </c>
      <c r="M10" s="854" t="s">
        <v>1066</v>
      </c>
      <c r="N10" s="856">
        <v>79118.52</v>
      </c>
      <c r="O10" s="857">
        <v>5.2880089999999997</v>
      </c>
      <c r="P10" s="856">
        <f t="shared" si="0"/>
        <v>418379.44582667999</v>
      </c>
      <c r="Q10" s="858">
        <v>42156</v>
      </c>
    </row>
    <row r="11" spans="1:18" hidden="1" x14ac:dyDescent="0.25">
      <c r="A11" s="851" t="s">
        <v>1100</v>
      </c>
      <c r="B11" s="851" t="s">
        <v>1100</v>
      </c>
      <c r="C11" s="852" t="s">
        <v>739</v>
      </c>
      <c r="D11" s="853" t="s">
        <v>1061</v>
      </c>
      <c r="E11" s="853" t="s">
        <v>1061</v>
      </c>
      <c r="F11" s="852" t="s">
        <v>1101</v>
      </c>
      <c r="G11" s="853" t="s">
        <v>823</v>
      </c>
      <c r="H11" s="854" t="s">
        <v>873</v>
      </c>
      <c r="I11" s="854" t="s">
        <v>1102</v>
      </c>
      <c r="J11" s="854" t="s">
        <v>1103</v>
      </c>
      <c r="K11" s="851" t="s">
        <v>1065</v>
      </c>
      <c r="L11" s="855">
        <v>42491</v>
      </c>
      <c r="M11" s="854" t="s">
        <v>1066</v>
      </c>
      <c r="N11" s="856">
        <v>135096.14000000001</v>
      </c>
      <c r="O11" s="857">
        <v>5.285094</v>
      </c>
      <c r="P11" s="856">
        <f t="shared" si="0"/>
        <v>713995.79893716006</v>
      </c>
      <c r="Q11" s="858">
        <v>42217</v>
      </c>
    </row>
    <row r="12" spans="1:18" hidden="1" x14ac:dyDescent="0.25">
      <c r="A12" s="851" t="s">
        <v>1104</v>
      </c>
      <c r="B12" s="851" t="s">
        <v>1104</v>
      </c>
      <c r="C12" s="852" t="s">
        <v>739</v>
      </c>
      <c r="D12" s="853" t="s">
        <v>1061</v>
      </c>
      <c r="E12" s="853" t="s">
        <v>1061</v>
      </c>
      <c r="F12" s="852" t="s">
        <v>1105</v>
      </c>
      <c r="G12" s="853" t="s">
        <v>816</v>
      </c>
      <c r="H12" s="854" t="s">
        <v>817</v>
      </c>
      <c r="I12" s="854" t="s">
        <v>1094</v>
      </c>
      <c r="J12" s="854" t="s">
        <v>1106</v>
      </c>
      <c r="K12" s="851" t="s">
        <v>1072</v>
      </c>
      <c r="L12" s="855">
        <v>42522</v>
      </c>
      <c r="M12" s="854" t="s">
        <v>1066</v>
      </c>
      <c r="N12" s="856">
        <v>54195.54</v>
      </c>
      <c r="O12" s="857">
        <v>4.9478819999999999</v>
      </c>
      <c r="P12" s="856">
        <f t="shared" si="0"/>
        <v>268153.13684628002</v>
      </c>
      <c r="Q12" s="858">
        <v>41487</v>
      </c>
    </row>
    <row r="13" spans="1:18" hidden="1" x14ac:dyDescent="0.25">
      <c r="A13" s="851" t="s">
        <v>1107</v>
      </c>
      <c r="B13" s="851" t="s">
        <v>1107</v>
      </c>
      <c r="C13" s="852" t="s">
        <v>739</v>
      </c>
      <c r="D13" s="853" t="s">
        <v>1061</v>
      </c>
      <c r="E13" s="853" t="s">
        <v>1061</v>
      </c>
      <c r="F13" s="852" t="s">
        <v>1108</v>
      </c>
      <c r="G13" s="853" t="s">
        <v>816</v>
      </c>
      <c r="H13" s="854" t="s">
        <v>817</v>
      </c>
      <c r="I13" s="854" t="s">
        <v>1094</v>
      </c>
      <c r="J13" s="854" t="s">
        <v>1109</v>
      </c>
      <c r="K13" s="851" t="s">
        <v>1072</v>
      </c>
      <c r="L13" s="855">
        <v>42614</v>
      </c>
      <c r="M13" s="854" t="s">
        <v>1066</v>
      </c>
      <c r="N13" s="856">
        <v>52412.46</v>
      </c>
      <c r="O13" s="857">
        <v>4.7688090000000001</v>
      </c>
      <c r="P13" s="856">
        <f t="shared" si="0"/>
        <v>249945.01096014</v>
      </c>
      <c r="Q13" s="858">
        <v>41122</v>
      </c>
    </row>
    <row r="14" spans="1:18" hidden="1" x14ac:dyDescent="0.25">
      <c r="A14" s="851" t="s">
        <v>1110</v>
      </c>
      <c r="B14" s="851" t="s">
        <v>1110</v>
      </c>
      <c r="C14" s="852" t="s">
        <v>739</v>
      </c>
      <c r="D14" s="853" t="s">
        <v>1061</v>
      </c>
      <c r="E14" s="853" t="s">
        <v>1061</v>
      </c>
      <c r="F14" s="852" t="s">
        <v>1111</v>
      </c>
      <c r="G14" s="853" t="s">
        <v>823</v>
      </c>
      <c r="H14" s="854" t="s">
        <v>1112</v>
      </c>
      <c r="I14" s="854" t="s">
        <v>1113</v>
      </c>
      <c r="J14" s="854" t="s">
        <v>1114</v>
      </c>
      <c r="K14" s="851" t="s">
        <v>1065</v>
      </c>
      <c r="L14" s="855">
        <v>42614</v>
      </c>
      <c r="M14" s="854" t="s">
        <v>1066</v>
      </c>
      <c r="N14" s="856">
        <v>129039.92</v>
      </c>
      <c r="O14" s="857">
        <v>5.1297379999999997</v>
      </c>
      <c r="P14" s="856">
        <f t="shared" si="0"/>
        <v>661940.98114096001</v>
      </c>
      <c r="Q14" s="858">
        <v>41699</v>
      </c>
    </row>
    <row r="15" spans="1:18" hidden="1" x14ac:dyDescent="0.25">
      <c r="A15" s="851" t="s">
        <v>1115</v>
      </c>
      <c r="B15" s="851" t="s">
        <v>1115</v>
      </c>
      <c r="C15" s="852" t="s">
        <v>739</v>
      </c>
      <c r="D15" s="853" t="s">
        <v>1061</v>
      </c>
      <c r="E15" s="853" t="s">
        <v>1061</v>
      </c>
      <c r="F15" s="852" t="s">
        <v>1116</v>
      </c>
      <c r="G15" s="853" t="s">
        <v>816</v>
      </c>
      <c r="H15" s="854" t="s">
        <v>820</v>
      </c>
      <c r="I15" s="854" t="s">
        <v>1117</v>
      </c>
      <c r="J15" s="854" t="s">
        <v>1118</v>
      </c>
      <c r="K15" s="851" t="s">
        <v>1072</v>
      </c>
      <c r="L15" s="855">
        <v>42675</v>
      </c>
      <c r="M15" s="854" t="s">
        <v>1066</v>
      </c>
      <c r="N15" s="856">
        <v>215855.82</v>
      </c>
      <c r="O15" s="857">
        <v>5.2880089999999997</v>
      </c>
      <c r="P15" s="856">
        <f t="shared" si="0"/>
        <v>1141447.5188623799</v>
      </c>
      <c r="Q15" s="858">
        <v>42156</v>
      </c>
    </row>
    <row r="16" spans="1:18" hidden="1" x14ac:dyDescent="0.25">
      <c r="A16" s="851" t="s">
        <v>1119</v>
      </c>
      <c r="B16" s="851" t="s">
        <v>1119</v>
      </c>
      <c r="C16" s="852" t="s">
        <v>739</v>
      </c>
      <c r="D16" s="853" t="s">
        <v>1061</v>
      </c>
      <c r="E16" s="853" t="s">
        <v>1061</v>
      </c>
      <c r="F16" s="852" t="s">
        <v>1120</v>
      </c>
      <c r="G16" s="853" t="s">
        <v>540</v>
      </c>
      <c r="H16" s="854" t="s">
        <v>840</v>
      </c>
      <c r="I16" s="854" t="s">
        <v>1121</v>
      </c>
      <c r="J16" s="854" t="s">
        <v>1122</v>
      </c>
      <c r="K16" s="851" t="s">
        <v>1072</v>
      </c>
      <c r="L16" s="855">
        <v>42736</v>
      </c>
      <c r="M16" s="854" t="s">
        <v>1066</v>
      </c>
      <c r="N16" s="856">
        <v>86514.3</v>
      </c>
      <c r="O16" s="857">
        <v>4.9891920000000001</v>
      </c>
      <c r="P16" s="856">
        <f t="shared" si="0"/>
        <v>431636.4534456</v>
      </c>
      <c r="Q16" s="858">
        <v>41579</v>
      </c>
    </row>
    <row r="17" spans="1:17" hidden="1" x14ac:dyDescent="0.25">
      <c r="A17" s="851" t="s">
        <v>1123</v>
      </c>
      <c r="B17" s="851" t="s">
        <v>1123</v>
      </c>
      <c r="C17" s="852" t="s">
        <v>739</v>
      </c>
      <c r="D17" s="853" t="s">
        <v>1061</v>
      </c>
      <c r="E17" s="853" t="s">
        <v>1061</v>
      </c>
      <c r="F17" s="852" t="s">
        <v>1124</v>
      </c>
      <c r="G17" s="853" t="s">
        <v>816</v>
      </c>
      <c r="H17" s="854" t="s">
        <v>817</v>
      </c>
      <c r="I17" s="854" t="s">
        <v>1094</v>
      </c>
      <c r="J17" s="854" t="s">
        <v>1125</v>
      </c>
      <c r="K17" s="851" t="s">
        <v>1065</v>
      </c>
      <c r="L17" s="855">
        <v>42736</v>
      </c>
      <c r="M17" s="854" t="s">
        <v>1066</v>
      </c>
      <c r="N17" s="856">
        <v>51764.42</v>
      </c>
      <c r="O17" s="857">
        <v>5.1456390000000001</v>
      </c>
      <c r="P17" s="856">
        <f t="shared" si="0"/>
        <v>266361.01836438</v>
      </c>
      <c r="Q17" s="858">
        <v>41730</v>
      </c>
    </row>
    <row r="18" spans="1:17" hidden="1" x14ac:dyDescent="0.25">
      <c r="A18" s="851" t="s">
        <v>1126</v>
      </c>
      <c r="B18" s="851" t="s">
        <v>1126</v>
      </c>
      <c r="C18" s="852" t="s">
        <v>739</v>
      </c>
      <c r="D18" s="853" t="s">
        <v>1061</v>
      </c>
      <c r="E18" s="853" t="s">
        <v>1061</v>
      </c>
      <c r="F18" s="852" t="s">
        <v>1127</v>
      </c>
      <c r="G18" s="853" t="s">
        <v>823</v>
      </c>
      <c r="H18" s="854" t="s">
        <v>1128</v>
      </c>
      <c r="I18" s="854" t="s">
        <v>1129</v>
      </c>
      <c r="J18" s="854" t="s">
        <v>1130</v>
      </c>
      <c r="K18" s="851" t="s">
        <v>1072</v>
      </c>
      <c r="L18" s="855">
        <v>42736</v>
      </c>
      <c r="M18" s="854" t="s">
        <v>1066</v>
      </c>
      <c r="N18" s="856">
        <v>48210.75</v>
      </c>
      <c r="O18" s="857">
        <v>5.2880089999999997</v>
      </c>
      <c r="P18" s="856">
        <f t="shared" si="0"/>
        <v>254938.87989674998</v>
      </c>
      <c r="Q18" s="858">
        <v>42156</v>
      </c>
    </row>
    <row r="19" spans="1:17" hidden="1" x14ac:dyDescent="0.25">
      <c r="A19" s="851" t="s">
        <v>1131</v>
      </c>
      <c r="B19" s="851" t="s">
        <v>1131</v>
      </c>
      <c r="C19" s="852" t="s">
        <v>739</v>
      </c>
      <c r="D19" s="853" t="s">
        <v>1061</v>
      </c>
      <c r="E19" s="853" t="s">
        <v>1061</v>
      </c>
      <c r="F19" s="852" t="s">
        <v>1132</v>
      </c>
      <c r="G19" s="853" t="s">
        <v>823</v>
      </c>
      <c r="H19" s="854" t="s">
        <v>873</v>
      </c>
      <c r="I19" s="854" t="s">
        <v>1102</v>
      </c>
      <c r="J19" s="854" t="s">
        <v>1133</v>
      </c>
      <c r="K19" s="851" t="s">
        <v>1065</v>
      </c>
      <c r="L19" s="855">
        <v>42767</v>
      </c>
      <c r="M19" s="854" t="s">
        <v>1066</v>
      </c>
      <c r="N19" s="856">
        <v>103556.25</v>
      </c>
      <c r="O19" s="857">
        <v>5.4367299999999998</v>
      </c>
      <c r="P19" s="856">
        <f t="shared" si="0"/>
        <v>563007.37106249994</v>
      </c>
      <c r="Q19" s="858">
        <v>42614</v>
      </c>
    </row>
    <row r="20" spans="1:17" hidden="1" x14ac:dyDescent="0.25">
      <c r="A20" s="851" t="s">
        <v>1134</v>
      </c>
      <c r="B20" s="851" t="s">
        <v>1134</v>
      </c>
      <c r="C20" s="852" t="s">
        <v>739</v>
      </c>
      <c r="D20" s="853" t="s">
        <v>1061</v>
      </c>
      <c r="E20" s="853" t="s">
        <v>1061</v>
      </c>
      <c r="F20" s="852" t="s">
        <v>1135</v>
      </c>
      <c r="G20" s="853" t="s">
        <v>823</v>
      </c>
      <c r="H20" s="854" t="s">
        <v>920</v>
      </c>
      <c r="I20" s="854" t="s">
        <v>1136</v>
      </c>
      <c r="J20" s="854" t="s">
        <v>1137</v>
      </c>
      <c r="K20" s="851" t="s">
        <v>1072</v>
      </c>
      <c r="L20" s="855">
        <v>42826</v>
      </c>
      <c r="M20" s="854" t="s">
        <v>1066</v>
      </c>
      <c r="N20" s="856">
        <v>86430.66</v>
      </c>
      <c r="O20" s="857">
        <v>5.2880089999999997</v>
      </c>
      <c r="P20" s="856">
        <f t="shared" si="0"/>
        <v>457046.10795594001</v>
      </c>
      <c r="Q20" s="858">
        <v>42156</v>
      </c>
    </row>
    <row r="21" spans="1:17" hidden="1" x14ac:dyDescent="0.25">
      <c r="A21" s="851" t="s">
        <v>1138</v>
      </c>
      <c r="B21" s="851" t="s">
        <v>1138</v>
      </c>
      <c r="C21" s="852" t="s">
        <v>739</v>
      </c>
      <c r="D21" s="853" t="s">
        <v>1061</v>
      </c>
      <c r="E21" s="853" t="s">
        <v>1061</v>
      </c>
      <c r="F21" s="852" t="s">
        <v>1139</v>
      </c>
      <c r="G21" s="853" t="s">
        <v>823</v>
      </c>
      <c r="H21" s="854" t="s">
        <v>920</v>
      </c>
      <c r="I21" s="854" t="s">
        <v>1136</v>
      </c>
      <c r="J21" s="854" t="s">
        <v>1140</v>
      </c>
      <c r="K21" s="851" t="s">
        <v>1072</v>
      </c>
      <c r="L21" s="855">
        <v>42887</v>
      </c>
      <c r="M21" s="854" t="s">
        <v>1066</v>
      </c>
      <c r="N21" s="856">
        <v>76643.31</v>
      </c>
      <c r="O21" s="857">
        <v>5.5307620000000002</v>
      </c>
      <c r="P21" s="856">
        <f>+N21*O21</f>
        <v>423895.90650222002</v>
      </c>
      <c r="Q21" s="858">
        <v>42705</v>
      </c>
    </row>
    <row r="22" spans="1:17" hidden="1" x14ac:dyDescent="0.25">
      <c r="A22" s="851" t="s">
        <v>1141</v>
      </c>
      <c r="B22" s="851" t="s">
        <v>1141</v>
      </c>
      <c r="C22" s="852" t="s">
        <v>739</v>
      </c>
      <c r="D22" s="853" t="s">
        <v>1061</v>
      </c>
      <c r="E22" s="853" t="s">
        <v>1061</v>
      </c>
      <c r="F22" s="852" t="s">
        <v>1142</v>
      </c>
      <c r="G22" s="853" t="s">
        <v>816</v>
      </c>
      <c r="H22" s="854" t="s">
        <v>817</v>
      </c>
      <c r="I22" s="854" t="s">
        <v>1094</v>
      </c>
      <c r="J22" s="854" t="s">
        <v>1143</v>
      </c>
      <c r="K22" s="851" t="s">
        <v>1072</v>
      </c>
      <c r="L22" s="855">
        <v>42917</v>
      </c>
      <c r="M22" s="854" t="s">
        <v>1066</v>
      </c>
      <c r="N22" s="856">
        <v>53861.52</v>
      </c>
      <c r="O22" s="857">
        <v>4.1451700000000002</v>
      </c>
      <c r="P22" s="856">
        <f t="shared" si="0"/>
        <v>223265.15685840001</v>
      </c>
      <c r="Q22" s="858">
        <v>39783</v>
      </c>
    </row>
    <row r="23" spans="1:17" hidden="1" x14ac:dyDescent="0.25">
      <c r="A23" s="851" t="s">
        <v>1144</v>
      </c>
      <c r="B23" s="851" t="s">
        <v>1144</v>
      </c>
      <c r="C23" s="852" t="s">
        <v>739</v>
      </c>
      <c r="D23" s="853" t="s">
        <v>1061</v>
      </c>
      <c r="E23" s="853" t="s">
        <v>1061</v>
      </c>
      <c r="F23" s="852" t="s">
        <v>1145</v>
      </c>
      <c r="G23" s="853" t="s">
        <v>816</v>
      </c>
      <c r="H23" s="854" t="s">
        <v>817</v>
      </c>
      <c r="I23" s="854" t="s">
        <v>1094</v>
      </c>
      <c r="J23" s="854" t="s">
        <v>1146</v>
      </c>
      <c r="K23" s="851" t="s">
        <v>1072</v>
      </c>
      <c r="L23" s="855">
        <v>42917</v>
      </c>
      <c r="M23" s="854" t="s">
        <v>1066</v>
      </c>
      <c r="N23" s="856">
        <v>51912.71</v>
      </c>
      <c r="O23" s="857">
        <v>5.2880089999999997</v>
      </c>
      <c r="P23" s="856">
        <f t="shared" si="0"/>
        <v>274514.87769438996</v>
      </c>
      <c r="Q23" s="858">
        <v>42156</v>
      </c>
    </row>
    <row r="24" spans="1:17" hidden="1" x14ac:dyDescent="0.25">
      <c r="A24" s="851" t="s">
        <v>1147</v>
      </c>
      <c r="B24" s="851" t="s">
        <v>1147</v>
      </c>
      <c r="C24" s="852" t="s">
        <v>739</v>
      </c>
      <c r="D24" s="853" t="s">
        <v>1061</v>
      </c>
      <c r="E24" s="853" t="s">
        <v>1061</v>
      </c>
      <c r="F24" s="852" t="s">
        <v>1148</v>
      </c>
      <c r="G24" s="853" t="s">
        <v>816</v>
      </c>
      <c r="H24" s="854" t="s">
        <v>817</v>
      </c>
      <c r="I24" s="854" t="s">
        <v>1094</v>
      </c>
      <c r="J24" s="854" t="s">
        <v>1149</v>
      </c>
      <c r="K24" s="851" t="s">
        <v>1072</v>
      </c>
      <c r="L24" s="855">
        <v>42917</v>
      </c>
      <c r="M24" s="854" t="s">
        <v>1066</v>
      </c>
      <c r="N24" s="856">
        <v>52412.46</v>
      </c>
      <c r="O24" s="857">
        <v>5.3316150000000002</v>
      </c>
      <c r="P24" s="856">
        <f t="shared" si="0"/>
        <v>279443.05792290001</v>
      </c>
      <c r="Q24" s="858">
        <v>42309</v>
      </c>
    </row>
    <row r="25" spans="1:17" hidden="1" x14ac:dyDescent="0.25">
      <c r="A25" s="851" t="s">
        <v>1150</v>
      </c>
      <c r="B25" s="851" t="s">
        <v>1150</v>
      </c>
      <c r="C25" s="852" t="s">
        <v>739</v>
      </c>
      <c r="D25" s="853" t="s">
        <v>1061</v>
      </c>
      <c r="E25" s="853" t="s">
        <v>1061</v>
      </c>
      <c r="F25" s="852" t="s">
        <v>1151</v>
      </c>
      <c r="G25" s="853" t="s">
        <v>823</v>
      </c>
      <c r="H25" s="854" t="s">
        <v>920</v>
      </c>
      <c r="I25" s="854" t="s">
        <v>1136</v>
      </c>
      <c r="J25" s="854" t="s">
        <v>1152</v>
      </c>
      <c r="K25" s="851" t="s">
        <v>1072</v>
      </c>
      <c r="L25" s="855">
        <v>42917</v>
      </c>
      <c r="M25" s="854" t="s">
        <v>1066</v>
      </c>
      <c r="N25" s="856">
        <v>87398.03</v>
      </c>
      <c r="O25" s="857">
        <v>5.5307620000000002</v>
      </c>
      <c r="P25" s="856">
        <f t="shared" si="0"/>
        <v>483377.70319885999</v>
      </c>
      <c r="Q25" s="858">
        <v>42705</v>
      </c>
    </row>
    <row r="26" spans="1:17" hidden="1" x14ac:dyDescent="0.25">
      <c r="A26" s="851" t="s">
        <v>1153</v>
      </c>
      <c r="B26" s="851" t="s">
        <v>1153</v>
      </c>
      <c r="C26" s="852" t="s">
        <v>739</v>
      </c>
      <c r="D26" s="853" t="s">
        <v>1061</v>
      </c>
      <c r="E26" s="853" t="s">
        <v>1061</v>
      </c>
      <c r="F26" s="852" t="s">
        <v>1154</v>
      </c>
      <c r="G26" s="853" t="s">
        <v>816</v>
      </c>
      <c r="H26" s="854" t="s">
        <v>817</v>
      </c>
      <c r="I26" s="854" t="s">
        <v>1094</v>
      </c>
      <c r="J26" s="854" t="s">
        <v>1155</v>
      </c>
      <c r="K26" s="851" t="s">
        <v>1072</v>
      </c>
      <c r="L26" s="855">
        <v>43983</v>
      </c>
      <c r="M26" s="854" t="s">
        <v>1066</v>
      </c>
      <c r="N26" s="856">
        <v>52617.78</v>
      </c>
      <c r="O26" s="857">
        <v>4.5677059999999994</v>
      </c>
      <c r="P26" s="856">
        <f t="shared" si="0"/>
        <v>240342.54941267997</v>
      </c>
      <c r="Q26" s="858">
        <v>40756</v>
      </c>
    </row>
    <row r="27" spans="1:17" hidden="1" x14ac:dyDescent="0.25">
      <c r="A27" s="851" t="s">
        <v>1156</v>
      </c>
      <c r="B27" s="851" t="s">
        <v>1156</v>
      </c>
      <c r="C27" s="852" t="s">
        <v>739</v>
      </c>
      <c r="D27" s="853" t="s">
        <v>1061</v>
      </c>
      <c r="E27" s="853" t="s">
        <v>1061</v>
      </c>
      <c r="F27" s="852" t="s">
        <v>1157</v>
      </c>
      <c r="G27" s="853" t="s">
        <v>540</v>
      </c>
      <c r="H27" s="854" t="s">
        <v>849</v>
      </c>
      <c r="I27" s="854" t="s">
        <v>1063</v>
      </c>
      <c r="J27" s="854" t="s">
        <v>1158</v>
      </c>
      <c r="K27" s="851" t="s">
        <v>1065</v>
      </c>
      <c r="L27" s="855">
        <v>43983</v>
      </c>
      <c r="M27" s="854" t="s">
        <v>1066</v>
      </c>
      <c r="N27" s="856">
        <v>73918.290000000008</v>
      </c>
      <c r="O27" s="857">
        <v>5.2772360000000003</v>
      </c>
      <c r="P27" s="856">
        <f t="shared" si="0"/>
        <v>390084.26104644005</v>
      </c>
      <c r="Q27" s="858">
        <v>42186</v>
      </c>
    </row>
    <row r="28" spans="1:17" hidden="1" x14ac:dyDescent="0.25">
      <c r="A28" s="851" t="s">
        <v>1159</v>
      </c>
      <c r="B28" s="851" t="s">
        <v>1159</v>
      </c>
      <c r="C28" s="852" t="s">
        <v>739</v>
      </c>
      <c r="D28" s="853" t="s">
        <v>1061</v>
      </c>
      <c r="E28" s="853" t="s">
        <v>1061</v>
      </c>
      <c r="F28" s="852" t="s">
        <v>1160</v>
      </c>
      <c r="G28" s="853" t="s">
        <v>816</v>
      </c>
      <c r="H28" s="854" t="s">
        <v>817</v>
      </c>
      <c r="I28" s="854" t="s">
        <v>1094</v>
      </c>
      <c r="J28" s="854" t="s">
        <v>1161</v>
      </c>
      <c r="K28" s="851" t="s">
        <v>1072</v>
      </c>
      <c r="L28" s="855">
        <v>43983</v>
      </c>
      <c r="M28" s="854" t="s">
        <v>1066</v>
      </c>
      <c r="N28" s="856">
        <v>50737.14</v>
      </c>
      <c r="O28" s="857">
        <v>5.3820399999999999</v>
      </c>
      <c r="P28" s="856">
        <f t="shared" si="0"/>
        <v>273069.31696560001</v>
      </c>
      <c r="Q28" s="858">
        <v>42370</v>
      </c>
    </row>
    <row r="29" spans="1:17" hidden="1" x14ac:dyDescent="0.25">
      <c r="A29" s="851" t="s">
        <v>1162</v>
      </c>
      <c r="B29" s="851" t="s">
        <v>1162</v>
      </c>
      <c r="C29" s="852" t="s">
        <v>739</v>
      </c>
      <c r="D29" s="853" t="s">
        <v>1061</v>
      </c>
      <c r="E29" s="853" t="s">
        <v>1061</v>
      </c>
      <c r="F29" s="852" t="s">
        <v>1163</v>
      </c>
      <c r="G29" s="853" t="s">
        <v>823</v>
      </c>
      <c r="H29" s="854" t="s">
        <v>882</v>
      </c>
      <c r="I29" s="854" t="s">
        <v>1164</v>
      </c>
      <c r="J29" s="854" t="s">
        <v>1165</v>
      </c>
      <c r="K29" s="851" t="s">
        <v>1065</v>
      </c>
      <c r="L29" s="855" t="s">
        <v>1166</v>
      </c>
      <c r="M29" s="854" t="s">
        <v>1066</v>
      </c>
      <c r="N29" s="856">
        <v>245248.95</v>
      </c>
      <c r="O29" s="857">
        <v>4.7412479999999997</v>
      </c>
      <c r="P29" s="856">
        <f>+N29*O29</f>
        <v>1162786.0936896</v>
      </c>
      <c r="Q29" s="858">
        <v>41061</v>
      </c>
    </row>
    <row r="30" spans="1:17" hidden="1" x14ac:dyDescent="0.25">
      <c r="A30" s="851" t="s">
        <v>1167</v>
      </c>
      <c r="B30" s="851" t="s">
        <v>1167</v>
      </c>
      <c r="C30" s="852" t="s">
        <v>739</v>
      </c>
      <c r="D30" s="853" t="s">
        <v>1061</v>
      </c>
      <c r="E30" s="853" t="s">
        <v>1061</v>
      </c>
      <c r="F30" s="852" t="s">
        <v>1168</v>
      </c>
      <c r="G30" s="853" t="s">
        <v>816</v>
      </c>
      <c r="H30" s="854" t="s">
        <v>817</v>
      </c>
      <c r="I30" s="854" t="s">
        <v>1094</v>
      </c>
      <c r="J30" s="854" t="s">
        <v>1169</v>
      </c>
      <c r="K30" s="851" t="s">
        <v>1072</v>
      </c>
      <c r="L30" s="855">
        <v>44105</v>
      </c>
      <c r="M30" s="854" t="s">
        <v>1066</v>
      </c>
      <c r="N30" s="856">
        <v>49957.03</v>
      </c>
      <c r="O30" s="857">
        <v>5.2880089999999997</v>
      </c>
      <c r="P30" s="856">
        <f>+N30*O30</f>
        <v>264173.22425326996</v>
      </c>
      <c r="Q30" s="858">
        <v>42156</v>
      </c>
    </row>
    <row r="31" spans="1:17" hidden="1" x14ac:dyDescent="0.25">
      <c r="A31" s="851" t="s">
        <v>1170</v>
      </c>
      <c r="B31" s="851">
        <v>10850</v>
      </c>
      <c r="C31" s="852" t="s">
        <v>739</v>
      </c>
      <c r="D31" s="853" t="s">
        <v>1061</v>
      </c>
      <c r="E31" s="853" t="s">
        <v>1061</v>
      </c>
      <c r="F31" s="852" t="s">
        <v>1171</v>
      </c>
      <c r="G31" s="853" t="s">
        <v>816</v>
      </c>
      <c r="H31" s="854" t="s">
        <v>817</v>
      </c>
      <c r="I31" s="854" t="s">
        <v>1075</v>
      </c>
      <c r="J31" s="854" t="s">
        <v>1172</v>
      </c>
      <c r="K31" s="851" t="s">
        <v>1072</v>
      </c>
      <c r="L31" s="855">
        <v>44166</v>
      </c>
      <c r="M31" s="854" t="s">
        <v>1066</v>
      </c>
      <c r="N31" s="856">
        <v>54430.8</v>
      </c>
      <c r="O31" s="857">
        <v>6.4343640000000004</v>
      </c>
      <c r="P31" s="856">
        <v>350227.58001119999</v>
      </c>
      <c r="Q31" s="858">
        <v>43952</v>
      </c>
    </row>
    <row r="32" spans="1:17" hidden="1" x14ac:dyDescent="0.25">
      <c r="A32" s="851" t="s">
        <v>1173</v>
      </c>
      <c r="B32" s="851" t="s">
        <v>1173</v>
      </c>
      <c r="C32" s="852" t="s">
        <v>739</v>
      </c>
      <c r="D32" s="853" t="s">
        <v>1061</v>
      </c>
      <c r="E32" s="853" t="s">
        <v>1061</v>
      </c>
      <c r="F32" s="852" t="s">
        <v>1174</v>
      </c>
      <c r="G32" s="853" t="s">
        <v>816</v>
      </c>
      <c r="H32" s="854" t="s">
        <v>820</v>
      </c>
      <c r="I32" s="854" t="s">
        <v>1090</v>
      </c>
      <c r="J32" s="854" t="s">
        <v>1175</v>
      </c>
      <c r="K32" s="851" t="s">
        <v>1072</v>
      </c>
      <c r="L32" s="855">
        <v>44197</v>
      </c>
      <c r="M32" s="854" t="s">
        <v>1066</v>
      </c>
      <c r="N32" s="856">
        <v>120173.37</v>
      </c>
      <c r="O32" s="857">
        <v>4.1855010000000004</v>
      </c>
      <c r="P32" s="856">
        <f t="shared" si="0"/>
        <v>502985.76030837005</v>
      </c>
      <c r="Q32" s="858">
        <v>39814</v>
      </c>
    </row>
    <row r="33" spans="1:17" hidden="1" x14ac:dyDescent="0.25">
      <c r="A33" s="851" t="s">
        <v>1176</v>
      </c>
      <c r="B33" s="851">
        <v>11048</v>
      </c>
      <c r="C33" s="852" t="s">
        <v>739</v>
      </c>
      <c r="D33" s="853" t="s">
        <v>1061</v>
      </c>
      <c r="E33" s="853" t="s">
        <v>1061</v>
      </c>
      <c r="F33" s="852" t="s">
        <v>1177</v>
      </c>
      <c r="G33" s="853" t="s">
        <v>816</v>
      </c>
      <c r="H33" s="854" t="s">
        <v>817</v>
      </c>
      <c r="I33" s="854" t="s">
        <v>1075</v>
      </c>
      <c r="J33" s="854" t="s">
        <v>1178</v>
      </c>
      <c r="K33" s="851" t="s">
        <v>1072</v>
      </c>
      <c r="L33" s="855">
        <v>44197</v>
      </c>
      <c r="M33" s="854" t="s">
        <v>1066</v>
      </c>
      <c r="N33" s="856">
        <v>53773.26</v>
      </c>
      <c r="O33" s="857">
        <v>6.4343640000000004</v>
      </c>
      <c r="P33" s="856">
        <v>345996.72830664</v>
      </c>
      <c r="Q33" s="858">
        <v>43952</v>
      </c>
    </row>
    <row r="34" spans="1:17" hidden="1" x14ac:dyDescent="0.25">
      <c r="A34" s="851" t="s">
        <v>1179</v>
      </c>
      <c r="B34" s="851">
        <v>9864</v>
      </c>
      <c r="C34" s="852" t="s">
        <v>739</v>
      </c>
      <c r="D34" s="853" t="s">
        <v>1061</v>
      </c>
      <c r="E34" s="853" t="s">
        <v>1061</v>
      </c>
      <c r="F34" s="852" t="s">
        <v>1180</v>
      </c>
      <c r="G34" s="853" t="s">
        <v>816</v>
      </c>
      <c r="H34" s="854" t="s">
        <v>817</v>
      </c>
      <c r="I34" s="854" t="s">
        <v>1094</v>
      </c>
      <c r="J34" s="854" t="s">
        <v>1181</v>
      </c>
      <c r="K34" s="851" t="s">
        <v>1072</v>
      </c>
      <c r="L34" s="855">
        <v>44197</v>
      </c>
      <c r="M34" s="854" t="s">
        <v>1066</v>
      </c>
      <c r="N34" s="856">
        <v>51065.3</v>
      </c>
      <c r="O34" s="857">
        <v>6.4343640000000004</v>
      </c>
      <c r="P34" s="856">
        <v>328572.7279692</v>
      </c>
      <c r="Q34" s="858">
        <v>43952</v>
      </c>
    </row>
    <row r="35" spans="1:17" hidden="1" x14ac:dyDescent="0.25">
      <c r="A35" s="851" t="s">
        <v>1182</v>
      </c>
      <c r="B35" s="851">
        <v>10732</v>
      </c>
      <c r="C35" s="852" t="s">
        <v>739</v>
      </c>
      <c r="D35" s="853" t="s">
        <v>1061</v>
      </c>
      <c r="E35" s="853" t="s">
        <v>1061</v>
      </c>
      <c r="F35" s="852" t="s">
        <v>1183</v>
      </c>
      <c r="G35" s="853" t="s">
        <v>838</v>
      </c>
      <c r="H35" s="854" t="s">
        <v>839</v>
      </c>
      <c r="I35" s="854" t="s">
        <v>1184</v>
      </c>
      <c r="J35" s="854" t="s">
        <v>1185</v>
      </c>
      <c r="K35" s="851" t="s">
        <v>1065</v>
      </c>
      <c r="L35" s="855">
        <v>44197</v>
      </c>
      <c r="M35" s="854" t="s">
        <v>1066</v>
      </c>
      <c r="N35" s="856">
        <v>225559.47</v>
      </c>
      <c r="O35" s="857">
        <v>6.4343640000000004</v>
      </c>
      <c r="P35" s="856">
        <v>1451331.73362708</v>
      </c>
      <c r="Q35" s="858">
        <v>43952</v>
      </c>
    </row>
    <row r="36" spans="1:17" hidden="1" x14ac:dyDescent="0.25">
      <c r="A36" s="851" t="s">
        <v>1186</v>
      </c>
      <c r="B36" s="851">
        <v>12846</v>
      </c>
      <c r="C36" s="852" t="s">
        <v>739</v>
      </c>
      <c r="D36" s="853" t="s">
        <v>1061</v>
      </c>
      <c r="E36" s="853" t="s">
        <v>1061</v>
      </c>
      <c r="F36" s="852" t="s">
        <v>1187</v>
      </c>
      <c r="G36" s="853" t="s">
        <v>816</v>
      </c>
      <c r="H36" s="854" t="s">
        <v>820</v>
      </c>
      <c r="I36" s="854" t="s">
        <v>1090</v>
      </c>
      <c r="J36" s="854" t="s">
        <v>1188</v>
      </c>
      <c r="K36" s="851" t="s">
        <v>1072</v>
      </c>
      <c r="L36" s="855">
        <v>44228</v>
      </c>
      <c r="M36" s="854" t="s">
        <v>1066</v>
      </c>
      <c r="N36" s="856">
        <v>103947.34</v>
      </c>
      <c r="O36" s="857">
        <v>6.4343640000000004</v>
      </c>
      <c r="P36" s="856">
        <v>668835.02239176002</v>
      </c>
      <c r="Q36" s="858">
        <v>43952</v>
      </c>
    </row>
    <row r="37" spans="1:17" hidden="1" x14ac:dyDescent="0.25">
      <c r="A37" s="851" t="s">
        <v>1189</v>
      </c>
      <c r="B37" s="851">
        <v>11561</v>
      </c>
      <c r="C37" s="852" t="s">
        <v>739</v>
      </c>
      <c r="D37" s="853" t="s">
        <v>1061</v>
      </c>
      <c r="E37" s="853" t="s">
        <v>1061</v>
      </c>
      <c r="F37" s="852" t="s">
        <v>1190</v>
      </c>
      <c r="G37" s="853" t="s">
        <v>821</v>
      </c>
      <c r="H37" s="854" t="s">
        <v>822</v>
      </c>
      <c r="I37" s="854" t="s">
        <v>1191</v>
      </c>
      <c r="J37" s="854" t="s">
        <v>1192</v>
      </c>
      <c r="K37" s="851" t="s">
        <v>1072</v>
      </c>
      <c r="L37" s="855">
        <v>44287</v>
      </c>
      <c r="M37" s="854" t="s">
        <v>1066</v>
      </c>
      <c r="N37" s="856">
        <v>91119.83</v>
      </c>
      <c r="O37" s="857">
        <v>6.4343640000000004</v>
      </c>
      <c r="P37" s="856">
        <v>586298.15383812005</v>
      </c>
      <c r="Q37" s="858">
        <v>43952</v>
      </c>
    </row>
    <row r="38" spans="1:17" hidden="1" x14ac:dyDescent="0.25">
      <c r="A38" s="851" t="s">
        <v>1193</v>
      </c>
      <c r="B38" s="851">
        <v>10098</v>
      </c>
      <c r="C38" s="852" t="s">
        <v>739</v>
      </c>
      <c r="D38" s="853" t="s">
        <v>1061</v>
      </c>
      <c r="E38" s="853" t="s">
        <v>1061</v>
      </c>
      <c r="F38" s="852" t="s">
        <v>1194</v>
      </c>
      <c r="G38" s="853" t="s">
        <v>816</v>
      </c>
      <c r="H38" s="854" t="s">
        <v>817</v>
      </c>
      <c r="I38" s="854" t="s">
        <v>1094</v>
      </c>
      <c r="J38" s="854" t="s">
        <v>1195</v>
      </c>
      <c r="K38" s="851" t="s">
        <v>1196</v>
      </c>
      <c r="L38" s="855">
        <v>44287</v>
      </c>
      <c r="M38" s="854" t="s">
        <v>1066</v>
      </c>
      <c r="N38" s="856">
        <v>52272.67</v>
      </c>
      <c r="O38" s="857">
        <v>6.5262969999999996</v>
      </c>
      <c r="P38" s="856">
        <v>341146.96940299001</v>
      </c>
      <c r="Q38" s="858">
        <v>44075</v>
      </c>
    </row>
    <row r="39" spans="1:17" hidden="1" x14ac:dyDescent="0.25">
      <c r="A39" s="851" t="s">
        <v>1197</v>
      </c>
      <c r="B39" s="851" t="s">
        <v>1197</v>
      </c>
      <c r="C39" s="852" t="s">
        <v>739</v>
      </c>
      <c r="D39" s="853" t="s">
        <v>1061</v>
      </c>
      <c r="E39" s="853" t="s">
        <v>1061</v>
      </c>
      <c r="F39" s="852" t="s">
        <v>1198</v>
      </c>
      <c r="G39" s="853" t="s">
        <v>816</v>
      </c>
      <c r="H39" s="854" t="s">
        <v>820</v>
      </c>
      <c r="I39" s="854" t="s">
        <v>1199</v>
      </c>
      <c r="J39" s="854" t="s">
        <v>1200</v>
      </c>
      <c r="K39" s="851" t="s">
        <v>1065</v>
      </c>
      <c r="L39" s="855">
        <v>44317</v>
      </c>
      <c r="M39" s="854" t="s">
        <v>1066</v>
      </c>
      <c r="N39" s="856">
        <v>74654.820000000007</v>
      </c>
      <c r="O39" s="857">
        <v>5.4953580000000004</v>
      </c>
      <c r="P39" s="856">
        <f>+N39*O39</f>
        <v>410254.96232556005</v>
      </c>
      <c r="Q39" s="858">
        <v>42675</v>
      </c>
    </row>
    <row r="40" spans="1:17" hidden="1" x14ac:dyDescent="0.25">
      <c r="A40" s="851" t="s">
        <v>1201</v>
      </c>
      <c r="B40" s="851">
        <v>11255</v>
      </c>
      <c r="C40" s="852" t="s">
        <v>739</v>
      </c>
      <c r="D40" s="853" t="s">
        <v>1061</v>
      </c>
      <c r="E40" s="853" t="s">
        <v>1061</v>
      </c>
      <c r="F40" s="852" t="s">
        <v>1202</v>
      </c>
      <c r="G40" s="853" t="s">
        <v>816</v>
      </c>
      <c r="H40" s="854" t="s">
        <v>820</v>
      </c>
      <c r="I40" s="854" t="s">
        <v>1090</v>
      </c>
      <c r="J40" s="854" t="s">
        <v>1203</v>
      </c>
      <c r="K40" s="851" t="s">
        <v>1072</v>
      </c>
      <c r="L40" s="855">
        <v>44348</v>
      </c>
      <c r="M40" s="854" t="s">
        <v>1066</v>
      </c>
      <c r="N40" s="856">
        <v>117863.82</v>
      </c>
      <c r="O40" s="857">
        <v>6.6021239999999999</v>
      </c>
      <c r="P40" s="856">
        <v>778151.55475368001</v>
      </c>
      <c r="Q40" s="858">
        <v>44166</v>
      </c>
    </row>
    <row r="41" spans="1:17" hidden="1" x14ac:dyDescent="0.25">
      <c r="A41" s="851" t="s">
        <v>1204</v>
      </c>
      <c r="B41" s="851" t="s">
        <v>1204</v>
      </c>
      <c r="C41" s="852" t="s">
        <v>739</v>
      </c>
      <c r="D41" s="853" t="s">
        <v>1061</v>
      </c>
      <c r="E41" s="853" t="s">
        <v>1061</v>
      </c>
      <c r="F41" s="852" t="s">
        <v>1205</v>
      </c>
      <c r="G41" s="853" t="s">
        <v>540</v>
      </c>
      <c r="H41" s="854" t="s">
        <v>840</v>
      </c>
      <c r="I41" s="854" t="s">
        <v>1121</v>
      </c>
      <c r="J41" s="854" t="s">
        <v>1206</v>
      </c>
      <c r="K41" s="851" t="s">
        <v>1072</v>
      </c>
      <c r="L41" s="855">
        <v>44378</v>
      </c>
      <c r="M41" s="854" t="s">
        <v>1066</v>
      </c>
      <c r="N41" s="856">
        <v>84855.58</v>
      </c>
      <c r="O41" s="857">
        <v>5.7243870000000001</v>
      </c>
      <c r="P41" s="856">
        <f>+N41*O41</f>
        <v>485746.17902946001</v>
      </c>
      <c r="Q41" s="858">
        <v>42826</v>
      </c>
    </row>
    <row r="42" spans="1:17" hidden="1" x14ac:dyDescent="0.25">
      <c r="A42" s="851" t="s">
        <v>1207</v>
      </c>
      <c r="B42" s="851">
        <v>7651</v>
      </c>
      <c r="C42" s="852" t="s">
        <v>739</v>
      </c>
      <c r="D42" s="853" t="s">
        <v>1061</v>
      </c>
      <c r="E42" s="853" t="s">
        <v>1061</v>
      </c>
      <c r="F42" s="852" t="s">
        <v>1208</v>
      </c>
      <c r="G42" s="853" t="s">
        <v>823</v>
      </c>
      <c r="H42" s="854" t="s">
        <v>1112</v>
      </c>
      <c r="I42" s="854" t="s">
        <v>1129</v>
      </c>
      <c r="J42" s="854" t="s">
        <v>1209</v>
      </c>
      <c r="K42" s="851" t="s">
        <v>1072</v>
      </c>
      <c r="L42" s="855">
        <v>44378</v>
      </c>
      <c r="M42" s="854" t="s">
        <v>1066</v>
      </c>
      <c r="N42" s="856">
        <v>48238.58</v>
      </c>
      <c r="O42" s="857">
        <v>6.4343640000000004</v>
      </c>
      <c r="P42" s="856">
        <v>310384.58256312</v>
      </c>
      <c r="Q42" s="858">
        <v>43952</v>
      </c>
    </row>
    <row r="43" spans="1:17" hidden="1" x14ac:dyDescent="0.25">
      <c r="A43" s="851" t="s">
        <v>1210</v>
      </c>
      <c r="B43" s="851" t="s">
        <v>1210</v>
      </c>
      <c r="C43" s="852" t="s">
        <v>739</v>
      </c>
      <c r="D43" s="853" t="s">
        <v>1061</v>
      </c>
      <c r="E43" s="853" t="s">
        <v>1061</v>
      </c>
      <c r="F43" s="852" t="s">
        <v>1211</v>
      </c>
      <c r="G43" s="853" t="s">
        <v>823</v>
      </c>
      <c r="H43" s="854" t="s">
        <v>920</v>
      </c>
      <c r="I43" s="854" t="s">
        <v>1136</v>
      </c>
      <c r="J43" s="854" t="s">
        <v>1212</v>
      </c>
      <c r="K43" s="851" t="s">
        <v>1072</v>
      </c>
      <c r="L43" s="855">
        <v>44621</v>
      </c>
      <c r="M43" s="854" t="s">
        <v>1066</v>
      </c>
      <c r="N43" s="856">
        <v>84354.12</v>
      </c>
      <c r="O43" s="857">
        <v>5.76511</v>
      </c>
      <c r="P43" s="856">
        <v>486310.78080000001</v>
      </c>
      <c r="Q43" s="858">
        <v>42948</v>
      </c>
    </row>
    <row r="44" spans="1:17" hidden="1" x14ac:dyDescent="0.25">
      <c r="A44" s="851" t="s">
        <v>1213</v>
      </c>
      <c r="B44" s="851">
        <v>12940</v>
      </c>
      <c r="C44" s="852" t="s">
        <v>739</v>
      </c>
      <c r="D44" s="853" t="s">
        <v>1061</v>
      </c>
      <c r="E44" s="853" t="s">
        <v>1061</v>
      </c>
      <c r="F44" s="852" t="s">
        <v>1214</v>
      </c>
      <c r="G44" s="853" t="s">
        <v>823</v>
      </c>
      <c r="H44" s="854" t="s">
        <v>1112</v>
      </c>
      <c r="I44" s="854" t="s">
        <v>1113</v>
      </c>
      <c r="J44" s="854" t="s">
        <v>1215</v>
      </c>
      <c r="K44" s="851" t="s">
        <v>1072</v>
      </c>
      <c r="L44" s="855">
        <v>44774</v>
      </c>
      <c r="M44" s="854" t="s">
        <v>1066</v>
      </c>
      <c r="N44" s="856">
        <v>148364.59</v>
      </c>
      <c r="O44" s="857">
        <v>6.4343640000000004</v>
      </c>
      <c r="P44" s="856">
        <v>954631.77677075996</v>
      </c>
      <c r="Q44" s="858">
        <v>43952</v>
      </c>
    </row>
    <row r="45" spans="1:17" hidden="1" x14ac:dyDescent="0.25">
      <c r="A45" s="851" t="s">
        <v>1216</v>
      </c>
      <c r="B45" s="851">
        <v>5359</v>
      </c>
      <c r="C45" s="852" t="s">
        <v>739</v>
      </c>
      <c r="D45" s="853" t="s">
        <v>1061</v>
      </c>
      <c r="E45" s="853" t="s">
        <v>1061</v>
      </c>
      <c r="F45" s="852" t="s">
        <v>1217</v>
      </c>
      <c r="G45" s="853" t="s">
        <v>821</v>
      </c>
      <c r="H45" s="854" t="s">
        <v>836</v>
      </c>
      <c r="I45" s="854" t="s">
        <v>1218</v>
      </c>
      <c r="J45" s="854" t="s">
        <v>1219</v>
      </c>
      <c r="K45" s="851" t="s">
        <v>1072</v>
      </c>
      <c r="L45" s="855">
        <v>44805</v>
      </c>
      <c r="M45" s="854" t="s">
        <v>1066</v>
      </c>
      <c r="N45" s="856">
        <v>72039.7</v>
      </c>
      <c r="O45" s="857">
        <v>6.4343640000000004</v>
      </c>
      <c r="P45" s="856">
        <v>463529.65225079999</v>
      </c>
      <c r="Q45" s="858">
        <v>43952</v>
      </c>
    </row>
    <row r="46" spans="1:17" hidden="1" x14ac:dyDescent="0.25">
      <c r="A46" s="851" t="s">
        <v>1220</v>
      </c>
      <c r="B46" s="851">
        <v>7754</v>
      </c>
      <c r="C46" s="852" t="s">
        <v>739</v>
      </c>
      <c r="D46" s="853" t="s">
        <v>1061</v>
      </c>
      <c r="E46" s="853" t="s">
        <v>1061</v>
      </c>
      <c r="F46" s="852" t="s">
        <v>1221</v>
      </c>
      <c r="G46" s="853" t="s">
        <v>834</v>
      </c>
      <c r="H46" s="854" t="s">
        <v>851</v>
      </c>
      <c r="I46" s="854" t="s">
        <v>1222</v>
      </c>
      <c r="J46" s="854" t="s">
        <v>1223</v>
      </c>
      <c r="K46" s="851" t="s">
        <v>1072</v>
      </c>
      <c r="L46" s="855">
        <v>44835</v>
      </c>
      <c r="M46" s="854" t="s">
        <v>1066</v>
      </c>
      <c r="N46" s="856">
        <v>72590.64</v>
      </c>
      <c r="O46" s="857">
        <v>6.972588</v>
      </c>
      <c r="P46" s="856">
        <v>506144.62537631998</v>
      </c>
      <c r="Q46" s="858">
        <v>44501</v>
      </c>
    </row>
    <row r="47" spans="1:17" hidden="1" x14ac:dyDescent="0.25">
      <c r="A47" s="851" t="s">
        <v>1224</v>
      </c>
      <c r="B47" s="851" t="s">
        <v>1224</v>
      </c>
      <c r="C47" s="852" t="s">
        <v>739</v>
      </c>
      <c r="D47" s="853" t="s">
        <v>1061</v>
      </c>
      <c r="E47" s="853" t="s">
        <v>1061</v>
      </c>
      <c r="F47" s="852" t="s">
        <v>1225</v>
      </c>
      <c r="G47" s="853" t="s">
        <v>816</v>
      </c>
      <c r="H47" s="854" t="s">
        <v>817</v>
      </c>
      <c r="I47" s="854" t="s">
        <v>1094</v>
      </c>
      <c r="J47" s="854" t="s">
        <v>1226</v>
      </c>
      <c r="K47" s="851" t="s">
        <v>1072</v>
      </c>
      <c r="L47" s="855">
        <v>44986</v>
      </c>
      <c r="M47" s="854" t="s">
        <v>1066</v>
      </c>
      <c r="N47" s="856">
        <v>51225.279999999999</v>
      </c>
      <c r="O47" s="857">
        <v>4.9478819999999999</v>
      </c>
      <c r="P47" s="856">
        <f t="shared" si="0"/>
        <v>253456.64085696</v>
      </c>
      <c r="Q47" s="858">
        <v>41487</v>
      </c>
    </row>
    <row r="48" spans="1:17" hidden="1" x14ac:dyDescent="0.25">
      <c r="A48" s="851" t="s">
        <v>1227</v>
      </c>
      <c r="B48" s="851">
        <v>12726</v>
      </c>
      <c r="C48" s="852" t="s">
        <v>739</v>
      </c>
      <c r="D48" s="853" t="s">
        <v>1061</v>
      </c>
      <c r="E48" s="853" t="s">
        <v>1061</v>
      </c>
      <c r="F48" s="852" t="s">
        <v>1228</v>
      </c>
      <c r="G48" s="853" t="s">
        <v>540</v>
      </c>
      <c r="H48" s="854" t="s">
        <v>843</v>
      </c>
      <c r="I48" s="854" t="s">
        <v>1229</v>
      </c>
      <c r="J48" s="854" t="s">
        <v>1230</v>
      </c>
      <c r="K48" s="851" t="s">
        <v>1072</v>
      </c>
      <c r="L48" s="855">
        <v>45047</v>
      </c>
      <c r="M48" s="854" t="s">
        <v>1066</v>
      </c>
      <c r="N48" s="856">
        <v>102999.64</v>
      </c>
      <c r="O48" s="857">
        <v>7.3639340000000004</v>
      </c>
      <c r="P48" s="856">
        <v>758482.55098376004</v>
      </c>
      <c r="Q48" s="858">
        <v>44743</v>
      </c>
    </row>
    <row r="49" spans="1:17" hidden="1" x14ac:dyDescent="0.25">
      <c r="A49" s="851" t="s">
        <v>1231</v>
      </c>
      <c r="B49" s="851">
        <v>8852</v>
      </c>
      <c r="C49" s="852" t="s">
        <v>739</v>
      </c>
      <c r="D49" s="853" t="s">
        <v>1061</v>
      </c>
      <c r="E49" s="853" t="s">
        <v>1061</v>
      </c>
      <c r="F49" s="852" t="s">
        <v>1232</v>
      </c>
      <c r="G49" s="853" t="s">
        <v>540</v>
      </c>
      <c r="H49" s="854" t="s">
        <v>909</v>
      </c>
      <c r="I49" s="854" t="s">
        <v>1233</v>
      </c>
      <c r="J49" s="854" t="s">
        <v>1234</v>
      </c>
      <c r="K49" s="851" t="s">
        <v>1072</v>
      </c>
      <c r="L49" s="855">
        <v>45108</v>
      </c>
      <c r="M49" s="854" t="s">
        <v>1066</v>
      </c>
      <c r="N49" s="856">
        <v>48246.82</v>
      </c>
      <c r="O49" s="857">
        <v>7.108676</v>
      </c>
      <c r="P49" s="856">
        <v>342971.01141032</v>
      </c>
      <c r="Q49" s="858">
        <v>44562</v>
      </c>
    </row>
    <row r="50" spans="1:17" hidden="1" x14ac:dyDescent="0.25">
      <c r="A50" s="851" t="s">
        <v>1235</v>
      </c>
      <c r="B50" s="851">
        <v>10454</v>
      </c>
      <c r="C50" s="852" t="s">
        <v>739</v>
      </c>
      <c r="D50" s="853" t="s">
        <v>1061</v>
      </c>
      <c r="E50" s="853" t="s">
        <v>1061</v>
      </c>
      <c r="F50" s="852" t="s">
        <v>1236</v>
      </c>
      <c r="G50" s="853" t="s">
        <v>834</v>
      </c>
      <c r="H50" s="854" t="s">
        <v>835</v>
      </c>
      <c r="I50" s="854" t="s">
        <v>1237</v>
      </c>
      <c r="J50" s="854" t="s">
        <v>1238</v>
      </c>
      <c r="K50" s="851" t="s">
        <v>1072</v>
      </c>
      <c r="L50" s="855">
        <v>45139</v>
      </c>
      <c r="M50" s="854" t="s">
        <v>1066</v>
      </c>
      <c r="N50" s="856">
        <v>121967.43</v>
      </c>
      <c r="O50" s="857">
        <v>7.2448329999999999</v>
      </c>
      <c r="P50" s="856">
        <v>883633.66178919002</v>
      </c>
      <c r="Q50" s="858">
        <v>44652</v>
      </c>
    </row>
    <row r="51" spans="1:17" hidden="1" x14ac:dyDescent="0.25">
      <c r="A51" s="851" t="s">
        <v>1239</v>
      </c>
      <c r="B51" s="851">
        <v>9731</v>
      </c>
      <c r="C51" s="852" t="s">
        <v>739</v>
      </c>
      <c r="D51" s="853" t="s">
        <v>1061</v>
      </c>
      <c r="E51" s="853" t="s">
        <v>1061</v>
      </c>
      <c r="F51" s="852" t="s">
        <v>1240</v>
      </c>
      <c r="G51" s="853" t="s">
        <v>540</v>
      </c>
      <c r="H51" s="854" t="s">
        <v>849</v>
      </c>
      <c r="I51" s="854" t="s">
        <v>1063</v>
      </c>
      <c r="J51" s="854" t="s">
        <v>1241</v>
      </c>
      <c r="K51" s="851" t="s">
        <v>1072</v>
      </c>
      <c r="L51" s="855">
        <v>45139</v>
      </c>
      <c r="M51" s="854" t="s">
        <v>1066</v>
      </c>
      <c r="N51" s="856">
        <v>61996.98</v>
      </c>
      <c r="O51" s="857">
        <v>7.312036</v>
      </c>
      <c r="P51" s="856">
        <v>453324.14965128002</v>
      </c>
      <c r="Q51" s="858">
        <v>44682</v>
      </c>
    </row>
    <row r="52" spans="1:17" hidden="1" x14ac:dyDescent="0.25">
      <c r="A52" s="851" t="s">
        <v>975</v>
      </c>
      <c r="B52" s="851" t="s">
        <v>975</v>
      </c>
      <c r="C52" s="852" t="s">
        <v>739</v>
      </c>
      <c r="D52" s="853" t="s">
        <v>1061</v>
      </c>
      <c r="E52" s="853" t="s">
        <v>1061</v>
      </c>
      <c r="F52" s="852" t="s">
        <v>1242</v>
      </c>
      <c r="G52" s="853" t="s">
        <v>816</v>
      </c>
      <c r="H52" s="854" t="s">
        <v>817</v>
      </c>
      <c r="I52" s="854" t="s">
        <v>1094</v>
      </c>
      <c r="J52" s="854" t="s">
        <v>1243</v>
      </c>
      <c r="K52" s="851" t="s">
        <v>1196</v>
      </c>
      <c r="L52" s="855" t="s">
        <v>1244</v>
      </c>
      <c r="M52" s="854" t="s">
        <v>1066</v>
      </c>
      <c r="N52" s="856">
        <v>51912.71</v>
      </c>
      <c r="O52" s="857">
        <v>4.9525620000000004</v>
      </c>
      <c r="P52" s="856">
        <f t="shared" si="0"/>
        <v>257100.91486302001</v>
      </c>
      <c r="Q52" s="858">
        <v>41518</v>
      </c>
    </row>
    <row r="53" spans="1:17" hidden="1" x14ac:dyDescent="0.25">
      <c r="A53" s="851" t="s">
        <v>1245</v>
      </c>
      <c r="B53" s="851">
        <v>11192</v>
      </c>
      <c r="C53" s="852" t="s">
        <v>739</v>
      </c>
      <c r="D53" s="853" t="s">
        <v>1061</v>
      </c>
      <c r="E53" s="853" t="s">
        <v>1061</v>
      </c>
      <c r="F53" s="852" t="s">
        <v>1246</v>
      </c>
      <c r="G53" s="853" t="s">
        <v>540</v>
      </c>
      <c r="H53" s="854" t="s">
        <v>843</v>
      </c>
      <c r="I53" s="854" t="s">
        <v>1229</v>
      </c>
      <c r="J53" s="854" t="s">
        <v>1247</v>
      </c>
      <c r="K53" s="851" t="s">
        <v>1072</v>
      </c>
      <c r="L53" s="855">
        <v>45231</v>
      </c>
      <c r="M53" s="854" t="s">
        <v>1066</v>
      </c>
      <c r="N53" s="856">
        <v>125249.51</v>
      </c>
      <c r="O53" s="857">
        <v>6.4343640000000004</v>
      </c>
      <c r="P53" s="856">
        <v>805900.93816163996</v>
      </c>
      <c r="Q53" s="858">
        <v>43952</v>
      </c>
    </row>
    <row r="54" spans="1:17" hidden="1" x14ac:dyDescent="0.25">
      <c r="A54" s="851" t="s">
        <v>1248</v>
      </c>
      <c r="B54" s="851">
        <v>9684</v>
      </c>
      <c r="C54" s="852" t="s">
        <v>739</v>
      </c>
      <c r="D54" s="853" t="s">
        <v>1061</v>
      </c>
      <c r="E54" s="853" t="s">
        <v>1061</v>
      </c>
      <c r="F54" s="852" t="s">
        <v>1249</v>
      </c>
      <c r="G54" s="853" t="s">
        <v>540</v>
      </c>
      <c r="H54" s="854" t="s">
        <v>849</v>
      </c>
      <c r="I54" s="854" t="s">
        <v>1063</v>
      </c>
      <c r="J54" s="854" t="s">
        <v>1250</v>
      </c>
      <c r="K54" s="851" t="s">
        <v>1065</v>
      </c>
      <c r="L54" s="855">
        <v>45261</v>
      </c>
      <c r="M54" s="854" t="s">
        <v>1066</v>
      </c>
      <c r="N54" s="856">
        <v>47543</v>
      </c>
      <c r="O54" s="857">
        <v>6.8708739999999997</v>
      </c>
      <c r="P54" s="856">
        <v>326661.96258200001</v>
      </c>
      <c r="Q54" s="858">
        <v>44409</v>
      </c>
    </row>
    <row r="55" spans="1:17" hidden="1" x14ac:dyDescent="0.25">
      <c r="A55" s="851" t="s">
        <v>1251</v>
      </c>
      <c r="B55" s="851">
        <v>9643</v>
      </c>
      <c r="C55" s="852" t="s">
        <v>739</v>
      </c>
      <c r="D55" s="853" t="s">
        <v>1061</v>
      </c>
      <c r="E55" s="853" t="s">
        <v>1061</v>
      </c>
      <c r="F55" s="852" t="s">
        <v>1252</v>
      </c>
      <c r="G55" s="853" t="s">
        <v>540</v>
      </c>
      <c r="H55" s="854" t="s">
        <v>849</v>
      </c>
      <c r="I55" s="854" t="s">
        <v>1063</v>
      </c>
      <c r="J55" s="854" t="s">
        <v>1253</v>
      </c>
      <c r="K55" s="851" t="s">
        <v>1072</v>
      </c>
      <c r="L55" s="855">
        <v>45292</v>
      </c>
      <c r="M55" s="854" t="s">
        <v>1066</v>
      </c>
      <c r="N55" s="856">
        <v>69947.28</v>
      </c>
      <c r="O55" s="857">
        <v>7.68811</v>
      </c>
      <c r="P55" s="856">
        <v>537762.38284079998</v>
      </c>
      <c r="Q55" s="858">
        <v>44958</v>
      </c>
    </row>
    <row r="56" spans="1:17" hidden="1" x14ac:dyDescent="0.25">
      <c r="A56" s="851" t="s">
        <v>1254</v>
      </c>
      <c r="B56" s="851">
        <v>9751</v>
      </c>
      <c r="C56" s="852" t="s">
        <v>739</v>
      </c>
      <c r="D56" s="853" t="s">
        <v>1061</v>
      </c>
      <c r="E56" s="853" t="s">
        <v>1061</v>
      </c>
      <c r="F56" s="852" t="s">
        <v>1255</v>
      </c>
      <c r="G56" s="853" t="s">
        <v>540</v>
      </c>
      <c r="H56" s="854" t="s">
        <v>849</v>
      </c>
      <c r="I56" s="854" t="s">
        <v>1063</v>
      </c>
      <c r="J56" s="854" t="s">
        <v>1256</v>
      </c>
      <c r="K56" s="851" t="s">
        <v>1072</v>
      </c>
      <c r="L56" s="855">
        <v>45323</v>
      </c>
      <c r="M56" s="854" t="s">
        <v>1066</v>
      </c>
      <c r="N56" s="856">
        <v>74974.539999999994</v>
      </c>
      <c r="O56" s="857">
        <v>7.8310959999999996</v>
      </c>
      <c r="P56" s="856">
        <v>587132.82029584004</v>
      </c>
      <c r="Q56" s="858">
        <v>45170</v>
      </c>
    </row>
    <row r="57" spans="1:17" x14ac:dyDescent="0.25">
      <c r="A57" s="851" t="s">
        <v>1257</v>
      </c>
      <c r="B57" s="851" t="s">
        <v>1257</v>
      </c>
      <c r="C57" s="852" t="s">
        <v>739</v>
      </c>
      <c r="D57" s="853" t="s">
        <v>1061</v>
      </c>
      <c r="E57" s="853" t="s">
        <v>1061</v>
      </c>
      <c r="F57" s="852" t="s">
        <v>1258</v>
      </c>
      <c r="G57" s="853" t="s">
        <v>540</v>
      </c>
      <c r="H57" s="854" t="s">
        <v>849</v>
      </c>
      <c r="I57" s="854" t="s">
        <v>1063</v>
      </c>
      <c r="J57" s="854" t="s">
        <v>1259</v>
      </c>
      <c r="K57" s="851" t="s">
        <v>1065</v>
      </c>
      <c r="L57" s="855"/>
      <c r="M57" s="854" t="s">
        <v>1260</v>
      </c>
      <c r="N57" s="856">
        <v>71296.3</v>
      </c>
      <c r="O57" s="857">
        <v>5.2772360000000003</v>
      </c>
      <c r="P57" s="856">
        <f t="shared" si="0"/>
        <v>376247.40102680004</v>
      </c>
      <c r="Q57" s="858">
        <v>42186</v>
      </c>
    </row>
    <row r="58" spans="1:17" x14ac:dyDescent="0.25">
      <c r="A58" s="851" t="s">
        <v>1261</v>
      </c>
      <c r="B58" s="851" t="s">
        <v>1261</v>
      </c>
      <c r="C58" s="852" t="s">
        <v>739</v>
      </c>
      <c r="D58" s="853" t="s">
        <v>1061</v>
      </c>
      <c r="E58" s="853" t="s">
        <v>1061</v>
      </c>
      <c r="F58" s="852" t="s">
        <v>1262</v>
      </c>
      <c r="G58" s="853" t="s">
        <v>540</v>
      </c>
      <c r="H58" s="854" t="s">
        <v>849</v>
      </c>
      <c r="I58" s="854" t="s">
        <v>1063</v>
      </c>
      <c r="J58" s="854" t="s">
        <v>1263</v>
      </c>
      <c r="K58" s="851" t="s">
        <v>1072</v>
      </c>
      <c r="L58" s="855"/>
      <c r="M58" s="854" t="s">
        <v>1260</v>
      </c>
      <c r="N58" s="856">
        <v>72810.899999999994</v>
      </c>
      <c r="O58" s="857">
        <v>5.4567410000000001</v>
      </c>
      <c r="P58" s="856">
        <f t="shared" si="0"/>
        <v>397310.22327689995</v>
      </c>
      <c r="Q58" s="858">
        <v>42644</v>
      </c>
    </row>
    <row r="59" spans="1:17" x14ac:dyDescent="0.25">
      <c r="A59" s="851" t="s">
        <v>1264</v>
      </c>
      <c r="B59" s="851" t="s">
        <v>1264</v>
      </c>
      <c r="C59" s="852" t="s">
        <v>739</v>
      </c>
      <c r="D59" s="853" t="s">
        <v>1061</v>
      </c>
      <c r="E59" s="853" t="s">
        <v>1061</v>
      </c>
      <c r="F59" s="852" t="s">
        <v>1265</v>
      </c>
      <c r="G59" s="853" t="s">
        <v>540</v>
      </c>
      <c r="H59" s="854" t="s">
        <v>849</v>
      </c>
      <c r="I59" s="854" t="s">
        <v>1063</v>
      </c>
      <c r="J59" s="854" t="s">
        <v>1266</v>
      </c>
      <c r="K59" s="852" t="s">
        <v>1072</v>
      </c>
      <c r="L59" s="855"/>
      <c r="M59" s="854" t="s">
        <v>1260</v>
      </c>
      <c r="N59" s="856">
        <v>71567.94</v>
      </c>
      <c r="O59" s="857">
        <v>5.5307620000000002</v>
      </c>
      <c r="P59" s="856">
        <f t="shared" si="0"/>
        <v>395825.24297028</v>
      </c>
      <c r="Q59" s="858">
        <v>42705</v>
      </c>
    </row>
    <row r="60" spans="1:17" x14ac:dyDescent="0.25">
      <c r="A60" s="851" t="s">
        <v>1267</v>
      </c>
      <c r="B60" s="851" t="s">
        <v>1267</v>
      </c>
      <c r="C60" s="852" t="s">
        <v>739</v>
      </c>
      <c r="D60" s="853" t="s">
        <v>1061</v>
      </c>
      <c r="E60" s="853" t="s">
        <v>1061</v>
      </c>
      <c r="F60" s="852" t="s">
        <v>1268</v>
      </c>
      <c r="G60" s="853" t="s">
        <v>540</v>
      </c>
      <c r="H60" s="854" t="s">
        <v>818</v>
      </c>
      <c r="I60" s="854" t="s">
        <v>1269</v>
      </c>
      <c r="J60" s="854" t="s">
        <v>1270</v>
      </c>
      <c r="K60" s="852" t="s">
        <v>1072</v>
      </c>
      <c r="L60" s="855"/>
      <c r="M60" s="854" t="s">
        <v>1260</v>
      </c>
      <c r="N60" s="856">
        <v>76805.13</v>
      </c>
      <c r="O60" s="857">
        <v>5.6883800000000004</v>
      </c>
      <c r="P60" s="856">
        <f t="shared" si="0"/>
        <v>436896.76538940007</v>
      </c>
      <c r="Q60" s="858">
        <v>42795</v>
      </c>
    </row>
    <row r="61" spans="1:17" x14ac:dyDescent="0.25">
      <c r="A61" s="851" t="s">
        <v>1271</v>
      </c>
      <c r="B61" s="851" t="s">
        <v>1271</v>
      </c>
      <c r="C61" s="852" t="s">
        <v>739</v>
      </c>
      <c r="D61" s="853" t="s">
        <v>1061</v>
      </c>
      <c r="E61" s="853" t="s">
        <v>1061</v>
      </c>
      <c r="F61" s="852" t="s">
        <v>1272</v>
      </c>
      <c r="G61" s="853" t="s">
        <v>834</v>
      </c>
      <c r="H61" s="854" t="s">
        <v>851</v>
      </c>
      <c r="I61" s="854" t="s">
        <v>1273</v>
      </c>
      <c r="J61" s="854" t="s">
        <v>1274</v>
      </c>
      <c r="K61" s="852" t="s">
        <v>1072</v>
      </c>
      <c r="L61" s="855"/>
      <c r="M61" s="854" t="s">
        <v>1260</v>
      </c>
      <c r="N61" s="856">
        <v>83125.62</v>
      </c>
      <c r="O61" s="857">
        <v>5.8198429999999997</v>
      </c>
      <c r="P61" s="856">
        <v>483778.05767766002</v>
      </c>
      <c r="Q61" s="858">
        <v>43009</v>
      </c>
    </row>
    <row r="62" spans="1:17" x14ac:dyDescent="0.25">
      <c r="A62" s="851" t="s">
        <v>1275</v>
      </c>
      <c r="B62" s="851" t="s">
        <v>1275</v>
      </c>
      <c r="C62" s="852" t="s">
        <v>739</v>
      </c>
      <c r="D62" s="853" t="s">
        <v>1061</v>
      </c>
      <c r="E62" s="853" t="s">
        <v>1061</v>
      </c>
      <c r="F62" s="852" t="s">
        <v>1276</v>
      </c>
      <c r="G62" s="853" t="s">
        <v>540</v>
      </c>
      <c r="H62" s="854" t="s">
        <v>840</v>
      </c>
      <c r="I62" s="854" t="s">
        <v>1121</v>
      </c>
      <c r="J62" s="854" t="s">
        <v>1277</v>
      </c>
      <c r="K62" s="852" t="s">
        <v>1072</v>
      </c>
      <c r="L62" s="855"/>
      <c r="M62" s="854" t="s">
        <v>1260</v>
      </c>
      <c r="N62" s="856">
        <v>77070.2</v>
      </c>
      <c r="O62" s="857">
        <v>6.0135310000000004</v>
      </c>
      <c r="P62" s="856">
        <v>463464.0368762</v>
      </c>
      <c r="Q62" s="858">
        <v>43282</v>
      </c>
    </row>
    <row r="63" spans="1:17" x14ac:dyDescent="0.25">
      <c r="A63" s="851" t="s">
        <v>1278</v>
      </c>
      <c r="B63" s="851" t="s">
        <v>1278</v>
      </c>
      <c r="C63" s="852" t="s">
        <v>739</v>
      </c>
      <c r="D63" s="853" t="s">
        <v>1061</v>
      </c>
      <c r="E63" s="853" t="s">
        <v>1061</v>
      </c>
      <c r="F63" s="852" t="s">
        <v>1279</v>
      </c>
      <c r="G63" s="853" t="s">
        <v>540</v>
      </c>
      <c r="H63" s="854" t="s">
        <v>849</v>
      </c>
      <c r="I63" s="854" t="s">
        <v>1063</v>
      </c>
      <c r="J63" s="854" t="s">
        <v>1280</v>
      </c>
      <c r="K63" s="852" t="s">
        <v>1072</v>
      </c>
      <c r="L63" s="855"/>
      <c r="M63" s="854" t="s">
        <v>1260</v>
      </c>
      <c r="N63" s="856">
        <v>73715.7</v>
      </c>
      <c r="O63" s="857">
        <v>6.1078999999999999</v>
      </c>
      <c r="P63" s="856">
        <v>450248.12403000001</v>
      </c>
      <c r="Q63" s="858">
        <v>43374</v>
      </c>
    </row>
    <row r="64" spans="1:17" x14ac:dyDescent="0.25">
      <c r="A64" s="851" t="s">
        <v>1281</v>
      </c>
      <c r="B64" s="851" t="s">
        <v>1281</v>
      </c>
      <c r="C64" s="852" t="s">
        <v>739</v>
      </c>
      <c r="D64" s="853" t="s">
        <v>1061</v>
      </c>
      <c r="E64" s="853" t="s">
        <v>1061</v>
      </c>
      <c r="F64" s="852" t="s">
        <v>1282</v>
      </c>
      <c r="G64" s="853" t="s">
        <v>540</v>
      </c>
      <c r="H64" s="854" t="s">
        <v>849</v>
      </c>
      <c r="I64" s="854" t="s">
        <v>1063</v>
      </c>
      <c r="J64" s="854" t="s">
        <v>1283</v>
      </c>
      <c r="K64" s="852" t="s">
        <v>1072</v>
      </c>
      <c r="L64" s="855"/>
      <c r="M64" s="854" t="s">
        <v>1260</v>
      </c>
      <c r="N64" s="856">
        <v>76044.960000000006</v>
      </c>
      <c r="O64" s="857">
        <v>6.1330730000000004</v>
      </c>
      <c r="P64" s="856">
        <v>466389.29096208001</v>
      </c>
      <c r="Q64" s="858">
        <v>43405</v>
      </c>
    </row>
    <row r="65" spans="1:17" x14ac:dyDescent="0.25">
      <c r="A65" s="851" t="s">
        <v>1284</v>
      </c>
      <c r="B65" s="851" t="s">
        <v>1284</v>
      </c>
      <c r="C65" s="852" t="s">
        <v>739</v>
      </c>
      <c r="D65" s="853" t="s">
        <v>1061</v>
      </c>
      <c r="E65" s="853" t="s">
        <v>1061</v>
      </c>
      <c r="F65" s="852" t="s">
        <v>1285</v>
      </c>
      <c r="G65" s="853" t="s">
        <v>833</v>
      </c>
      <c r="H65" s="854" t="s">
        <v>1085</v>
      </c>
      <c r="I65" s="854" t="s">
        <v>1286</v>
      </c>
      <c r="J65" s="854" t="s">
        <v>1287</v>
      </c>
      <c r="K65" s="852" t="s">
        <v>1065</v>
      </c>
      <c r="L65" s="855"/>
      <c r="M65" s="854" t="s">
        <v>1260</v>
      </c>
      <c r="N65" s="856">
        <v>130962.78</v>
      </c>
      <c r="O65" s="857">
        <v>6.1701860000000002</v>
      </c>
      <c r="P65" s="856">
        <v>808064.71167708002</v>
      </c>
      <c r="Q65" s="858">
        <v>43435</v>
      </c>
    </row>
    <row r="66" spans="1:17" x14ac:dyDescent="0.25">
      <c r="A66" s="851" t="s">
        <v>1288</v>
      </c>
      <c r="B66" s="851" t="s">
        <v>1288</v>
      </c>
      <c r="C66" s="852" t="s">
        <v>739</v>
      </c>
      <c r="D66" s="853" t="s">
        <v>1061</v>
      </c>
      <c r="E66" s="853" t="s">
        <v>1061</v>
      </c>
      <c r="F66" s="852" t="s">
        <v>1289</v>
      </c>
      <c r="G66" s="853" t="s">
        <v>540</v>
      </c>
      <c r="H66" s="854" t="s">
        <v>849</v>
      </c>
      <c r="I66" s="854" t="s">
        <v>1063</v>
      </c>
      <c r="J66" s="854" t="s">
        <v>1290</v>
      </c>
      <c r="K66" s="852" t="s">
        <v>1072</v>
      </c>
      <c r="L66" s="855"/>
      <c r="M66" s="854" t="s">
        <v>1260</v>
      </c>
      <c r="N66" s="856">
        <v>96821.96</v>
      </c>
      <c r="O66" s="857">
        <v>6.2288119999999996</v>
      </c>
      <c r="P66" s="856">
        <v>603085.78631152003</v>
      </c>
      <c r="Q66" s="858">
        <v>43466</v>
      </c>
    </row>
    <row r="67" spans="1:17" x14ac:dyDescent="0.25">
      <c r="A67" s="851" t="s">
        <v>1291</v>
      </c>
      <c r="B67" s="851" t="s">
        <v>1291</v>
      </c>
      <c r="C67" s="852" t="s">
        <v>739</v>
      </c>
      <c r="D67" s="853" t="s">
        <v>1061</v>
      </c>
      <c r="E67" s="853" t="s">
        <v>1061</v>
      </c>
      <c r="F67" s="852" t="s">
        <v>1292</v>
      </c>
      <c r="G67" s="853" t="s">
        <v>540</v>
      </c>
      <c r="H67" s="854" t="s">
        <v>849</v>
      </c>
      <c r="I67" s="854" t="s">
        <v>1063</v>
      </c>
      <c r="J67" s="854" t="s">
        <v>1293</v>
      </c>
      <c r="K67" s="852" t="s">
        <v>1072</v>
      </c>
      <c r="L67" s="855"/>
      <c r="M67" s="854" t="s">
        <v>1260</v>
      </c>
      <c r="N67" s="856">
        <v>76685.41</v>
      </c>
      <c r="O67" s="857">
        <v>6.2713049999999999</v>
      </c>
      <c r="P67" s="856">
        <v>480917.59516005003</v>
      </c>
      <c r="Q67" s="858">
        <v>43617</v>
      </c>
    </row>
    <row r="68" spans="1:17" x14ac:dyDescent="0.25">
      <c r="A68" s="851" t="s">
        <v>1294</v>
      </c>
      <c r="B68" s="851">
        <v>9874</v>
      </c>
      <c r="C68" s="852" t="s">
        <v>739</v>
      </c>
      <c r="D68" s="853" t="s">
        <v>1061</v>
      </c>
      <c r="E68" s="853" t="s">
        <v>1061</v>
      </c>
      <c r="F68" s="852" t="s">
        <v>1295</v>
      </c>
      <c r="G68" s="853" t="s">
        <v>816</v>
      </c>
      <c r="H68" s="854" t="s">
        <v>817</v>
      </c>
      <c r="I68" s="854" t="s">
        <v>1094</v>
      </c>
      <c r="J68" s="854" t="s">
        <v>1296</v>
      </c>
      <c r="K68" s="852" t="s">
        <v>1072</v>
      </c>
      <c r="L68" s="855"/>
      <c r="M68" s="854" t="s">
        <v>1260</v>
      </c>
      <c r="N68" s="856">
        <v>46650.75</v>
      </c>
      <c r="O68" s="857">
        <v>6.4343640000000004</v>
      </c>
      <c r="P68" s="856">
        <v>300167.90637300001</v>
      </c>
      <c r="Q68" s="858">
        <v>43952</v>
      </c>
    </row>
    <row r="69" spans="1:17" x14ac:dyDescent="0.25">
      <c r="A69" s="851" t="s">
        <v>1297</v>
      </c>
      <c r="B69" s="851">
        <v>8318</v>
      </c>
      <c r="C69" s="852" t="s">
        <v>739</v>
      </c>
      <c r="D69" s="853" t="s">
        <v>1061</v>
      </c>
      <c r="E69" s="853" t="s">
        <v>1061</v>
      </c>
      <c r="F69" s="852" t="s">
        <v>1298</v>
      </c>
      <c r="G69" s="853" t="s">
        <v>540</v>
      </c>
      <c r="H69" s="854" t="s">
        <v>909</v>
      </c>
      <c r="I69" s="854" t="s">
        <v>1299</v>
      </c>
      <c r="J69" s="854" t="s">
        <v>1300</v>
      </c>
      <c r="K69" s="852" t="s">
        <v>1072</v>
      </c>
      <c r="L69" s="855"/>
      <c r="M69" s="854" t="s">
        <v>1260</v>
      </c>
      <c r="N69" s="856">
        <v>57800.92</v>
      </c>
      <c r="O69" s="857">
        <v>6.4343640000000004</v>
      </c>
      <c r="P69" s="856">
        <v>371912.15881488001</v>
      </c>
      <c r="Q69" s="858">
        <v>43952</v>
      </c>
    </row>
    <row r="70" spans="1:17" x14ac:dyDescent="0.25">
      <c r="A70" s="851" t="s">
        <v>1301</v>
      </c>
      <c r="B70" s="851">
        <v>12946</v>
      </c>
      <c r="C70" s="852" t="s">
        <v>739</v>
      </c>
      <c r="D70" s="853" t="s">
        <v>1061</v>
      </c>
      <c r="E70" s="853" t="s">
        <v>1061</v>
      </c>
      <c r="F70" s="852" t="s">
        <v>1302</v>
      </c>
      <c r="G70" s="853" t="s">
        <v>823</v>
      </c>
      <c r="H70" s="854" t="s">
        <v>1112</v>
      </c>
      <c r="I70" s="854" t="s">
        <v>1113</v>
      </c>
      <c r="J70" s="854" t="s">
        <v>1303</v>
      </c>
      <c r="K70" s="852" t="s">
        <v>1065</v>
      </c>
      <c r="L70" s="855"/>
      <c r="M70" s="854" t="s">
        <v>1260</v>
      </c>
      <c r="N70" s="856">
        <v>97855.07</v>
      </c>
      <c r="O70" s="857">
        <v>6.4343640000000004</v>
      </c>
      <c r="P70" s="856">
        <v>629635.13962548005</v>
      </c>
      <c r="Q70" s="858">
        <v>43952</v>
      </c>
    </row>
    <row r="71" spans="1:17" x14ac:dyDescent="0.25">
      <c r="A71" s="851" t="s">
        <v>1304</v>
      </c>
      <c r="B71" s="851">
        <v>10729</v>
      </c>
      <c r="C71" s="852" t="s">
        <v>739</v>
      </c>
      <c r="D71" s="853" t="s">
        <v>1061</v>
      </c>
      <c r="E71" s="853" t="s">
        <v>1061</v>
      </c>
      <c r="F71" s="852" t="s">
        <v>1305</v>
      </c>
      <c r="G71" s="853" t="s">
        <v>838</v>
      </c>
      <c r="H71" s="854" t="s">
        <v>839</v>
      </c>
      <c r="I71" s="854" t="s">
        <v>1184</v>
      </c>
      <c r="J71" s="854" t="s">
        <v>1306</v>
      </c>
      <c r="K71" s="852" t="s">
        <v>1072</v>
      </c>
      <c r="L71" s="855"/>
      <c r="M71" s="854" t="s">
        <v>1260</v>
      </c>
      <c r="N71" s="856">
        <v>236979.48</v>
      </c>
      <c r="O71" s="857">
        <v>6.4343640000000004</v>
      </c>
      <c r="P71" s="856">
        <v>1524812.23485072</v>
      </c>
      <c r="Q71" s="858">
        <v>43952</v>
      </c>
    </row>
    <row r="72" spans="1:17" x14ac:dyDescent="0.25">
      <c r="A72" s="851" t="s">
        <v>1307</v>
      </c>
      <c r="B72" s="859">
        <v>10496</v>
      </c>
      <c r="C72" s="852" t="s">
        <v>739</v>
      </c>
      <c r="D72" s="853" t="s">
        <v>1061</v>
      </c>
      <c r="E72" s="853" t="s">
        <v>1061</v>
      </c>
      <c r="F72" s="852" t="s">
        <v>1308</v>
      </c>
      <c r="G72" s="853" t="s">
        <v>905</v>
      </c>
      <c r="H72" s="854" t="s">
        <v>926</v>
      </c>
      <c r="I72" s="854" t="s">
        <v>1309</v>
      </c>
      <c r="J72" s="854" t="s">
        <v>1310</v>
      </c>
      <c r="K72" s="852" t="s">
        <v>1072</v>
      </c>
      <c r="L72" s="855"/>
      <c r="M72" s="854" t="s">
        <v>1260</v>
      </c>
      <c r="N72" s="856">
        <v>244004.08</v>
      </c>
      <c r="O72" s="857">
        <v>6.4343640000000004</v>
      </c>
      <c r="P72" s="856">
        <v>1570011.06820512</v>
      </c>
      <c r="Q72" s="858">
        <v>43952</v>
      </c>
    </row>
    <row r="73" spans="1:17" x14ac:dyDescent="0.25">
      <c r="A73" s="851" t="s">
        <v>1311</v>
      </c>
      <c r="B73" s="859">
        <v>180766</v>
      </c>
      <c r="C73" s="852" t="s">
        <v>739</v>
      </c>
      <c r="D73" s="853" t="s">
        <v>1061</v>
      </c>
      <c r="E73" s="853" t="s">
        <v>1061</v>
      </c>
      <c r="F73" s="852" t="s">
        <v>1312</v>
      </c>
      <c r="G73" s="853" t="s">
        <v>540</v>
      </c>
      <c r="H73" s="854" t="s">
        <v>201</v>
      </c>
      <c r="I73" s="854" t="s">
        <v>1313</v>
      </c>
      <c r="J73" s="854" t="s">
        <v>1314</v>
      </c>
      <c r="K73" s="852" t="s">
        <v>1072</v>
      </c>
      <c r="L73" s="855"/>
      <c r="M73" s="854" t="s">
        <v>1260</v>
      </c>
      <c r="N73" s="856">
        <v>66157.98</v>
      </c>
      <c r="O73" s="857">
        <v>6.6468930000000004</v>
      </c>
      <c r="P73" s="856">
        <v>439745.01415613998</v>
      </c>
      <c r="Q73" s="858">
        <v>44228</v>
      </c>
    </row>
    <row r="74" spans="1:17" x14ac:dyDescent="0.25">
      <c r="A74" s="851" t="s">
        <v>1315</v>
      </c>
      <c r="B74" s="859">
        <v>8603</v>
      </c>
      <c r="C74" s="852" t="s">
        <v>739</v>
      </c>
      <c r="D74" s="853" t="s">
        <v>1061</v>
      </c>
      <c r="E74" s="853" t="s">
        <v>1061</v>
      </c>
      <c r="F74" s="852" t="s">
        <v>1316</v>
      </c>
      <c r="G74" s="853" t="s">
        <v>540</v>
      </c>
      <c r="H74" s="854" t="s">
        <v>843</v>
      </c>
      <c r="I74" s="854" t="s">
        <v>1317</v>
      </c>
      <c r="J74" s="854" t="s">
        <v>1318</v>
      </c>
      <c r="K74" s="852" t="s">
        <v>1072</v>
      </c>
      <c r="L74" s="855"/>
      <c r="M74" s="854" t="s">
        <v>1260</v>
      </c>
      <c r="N74" s="856">
        <v>79903.16</v>
      </c>
      <c r="O74" s="857">
        <v>6.6468930000000004</v>
      </c>
      <c r="P74" s="856">
        <v>531107.75488188001</v>
      </c>
      <c r="Q74" s="858">
        <v>44228</v>
      </c>
    </row>
    <row r="75" spans="1:17" x14ac:dyDescent="0.25">
      <c r="A75" s="851" t="s">
        <v>1319</v>
      </c>
      <c r="B75" s="859">
        <v>12815</v>
      </c>
      <c r="C75" s="852" t="s">
        <v>739</v>
      </c>
      <c r="D75" s="853" t="s">
        <v>1061</v>
      </c>
      <c r="E75" s="853" t="s">
        <v>1061</v>
      </c>
      <c r="F75" s="852" t="s">
        <v>1320</v>
      </c>
      <c r="G75" s="853" t="s">
        <v>540</v>
      </c>
      <c r="H75" s="854" t="s">
        <v>849</v>
      </c>
      <c r="I75" s="854" t="s">
        <v>1063</v>
      </c>
      <c r="J75" s="854" t="s">
        <v>1321</v>
      </c>
      <c r="K75" s="852" t="s">
        <v>1072</v>
      </c>
      <c r="L75" s="855"/>
      <c r="M75" s="854" t="s">
        <v>1260</v>
      </c>
      <c r="N75" s="856">
        <v>96609.31</v>
      </c>
      <c r="O75" s="857">
        <v>6.8109390000000003</v>
      </c>
      <c r="P75" s="856">
        <v>658000.11724209005</v>
      </c>
      <c r="Q75" s="858">
        <v>44348</v>
      </c>
    </row>
    <row r="76" spans="1:17" x14ac:dyDescent="0.25">
      <c r="A76" s="851" t="s">
        <v>1322</v>
      </c>
      <c r="B76" s="859">
        <v>9645</v>
      </c>
      <c r="C76" s="852" t="s">
        <v>739</v>
      </c>
      <c r="D76" s="853" t="s">
        <v>1061</v>
      </c>
      <c r="E76" s="853" t="s">
        <v>1061</v>
      </c>
      <c r="F76" s="852" t="s">
        <v>1323</v>
      </c>
      <c r="G76" s="853" t="s">
        <v>540</v>
      </c>
      <c r="H76" s="854" t="s">
        <v>849</v>
      </c>
      <c r="I76" s="854" t="s">
        <v>1063</v>
      </c>
      <c r="J76" s="854" t="s">
        <v>1324</v>
      </c>
      <c r="K76" s="852" t="s">
        <v>1072</v>
      </c>
      <c r="L76" s="855"/>
      <c r="M76" s="854" t="s">
        <v>1260</v>
      </c>
      <c r="N76" s="856">
        <v>75659.14</v>
      </c>
      <c r="O76" s="857">
        <v>6.9242929999999996</v>
      </c>
      <c r="P76" s="856">
        <v>523886.05348802003</v>
      </c>
      <c r="Q76" s="858">
        <v>44470</v>
      </c>
    </row>
    <row r="77" spans="1:17" x14ac:dyDescent="0.25">
      <c r="A77" s="851" t="s">
        <v>1325</v>
      </c>
      <c r="B77" s="859" t="s">
        <v>1325</v>
      </c>
      <c r="C77" s="852" t="s">
        <v>739</v>
      </c>
      <c r="D77" s="853" t="s">
        <v>1061</v>
      </c>
      <c r="E77" s="853" t="s">
        <v>1061</v>
      </c>
      <c r="F77" s="852" t="s">
        <v>1326</v>
      </c>
      <c r="G77" s="853" t="s">
        <v>540</v>
      </c>
      <c r="H77" s="854" t="s">
        <v>849</v>
      </c>
      <c r="I77" s="854" t="s">
        <v>1063</v>
      </c>
      <c r="J77" s="854" t="s">
        <v>1327</v>
      </c>
      <c r="K77" s="852" t="s">
        <v>1072</v>
      </c>
      <c r="L77" s="855"/>
      <c r="M77" s="854" t="s">
        <v>1260</v>
      </c>
      <c r="N77" s="856">
        <v>67664.72</v>
      </c>
      <c r="O77" s="857">
        <v>7.1785370000000004</v>
      </c>
      <c r="P77" s="856">
        <v>485733.69611463998</v>
      </c>
      <c r="Q77" s="858">
        <v>44621</v>
      </c>
    </row>
    <row r="78" spans="1:17" x14ac:dyDescent="0.25">
      <c r="A78" s="851" t="s">
        <v>1328</v>
      </c>
      <c r="B78" s="859">
        <v>12760</v>
      </c>
      <c r="C78" s="852" t="s">
        <v>739</v>
      </c>
      <c r="D78" s="853" t="s">
        <v>1061</v>
      </c>
      <c r="E78" s="853" t="s">
        <v>1061</v>
      </c>
      <c r="F78" s="852" t="s">
        <v>1329</v>
      </c>
      <c r="G78" s="853" t="s">
        <v>540</v>
      </c>
      <c r="H78" s="854" t="s">
        <v>849</v>
      </c>
      <c r="I78" s="854" t="s">
        <v>1063</v>
      </c>
      <c r="J78" s="854" t="s">
        <v>1330</v>
      </c>
      <c r="K78" s="852" t="s">
        <v>1072</v>
      </c>
      <c r="L78" s="855"/>
      <c r="M78" s="854" t="s">
        <v>1260</v>
      </c>
      <c r="N78" s="856">
        <v>78334.320000000007</v>
      </c>
      <c r="O78" s="857">
        <v>7.2448329999999999</v>
      </c>
      <c r="P78" s="856">
        <v>567519.06656855997</v>
      </c>
      <c r="Q78" s="858">
        <v>44652</v>
      </c>
    </row>
    <row r="79" spans="1:17" x14ac:dyDescent="0.25">
      <c r="A79" s="851" t="s">
        <v>1331</v>
      </c>
      <c r="B79" s="859">
        <v>12826</v>
      </c>
      <c r="C79" s="852" t="s">
        <v>739</v>
      </c>
      <c r="D79" s="853" t="s">
        <v>1061</v>
      </c>
      <c r="E79" s="853" t="s">
        <v>1061</v>
      </c>
      <c r="F79" s="852" t="s">
        <v>1332</v>
      </c>
      <c r="G79" s="853" t="s">
        <v>540</v>
      </c>
      <c r="H79" s="854" t="s">
        <v>849</v>
      </c>
      <c r="I79" s="854" t="s">
        <v>1063</v>
      </c>
      <c r="J79" s="854" t="s">
        <v>1333</v>
      </c>
      <c r="K79" s="852" t="s">
        <v>1072</v>
      </c>
      <c r="L79" s="855"/>
      <c r="M79" s="854" t="s">
        <v>1260</v>
      </c>
      <c r="N79" s="856">
        <v>88708.31</v>
      </c>
      <c r="O79" s="857">
        <v>7.312036</v>
      </c>
      <c r="P79" s="856">
        <v>648638.35621916002</v>
      </c>
      <c r="Q79" s="858">
        <v>44682</v>
      </c>
    </row>
    <row r="80" spans="1:17" x14ac:dyDescent="0.25">
      <c r="A80" s="851" t="s">
        <v>1334</v>
      </c>
      <c r="B80" s="859">
        <v>13541</v>
      </c>
      <c r="C80" s="852" t="s">
        <v>739</v>
      </c>
      <c r="D80" s="853" t="s">
        <v>1061</v>
      </c>
      <c r="E80" s="853" t="s">
        <v>1061</v>
      </c>
      <c r="F80" s="852" t="s">
        <v>1335</v>
      </c>
      <c r="G80" s="853" t="s">
        <v>903</v>
      </c>
      <c r="H80" s="854" t="s">
        <v>699</v>
      </c>
      <c r="I80" s="854" t="s">
        <v>1336</v>
      </c>
      <c r="J80" s="854" t="s">
        <v>1337</v>
      </c>
      <c r="K80" s="852" t="s">
        <v>1072</v>
      </c>
      <c r="L80" s="855"/>
      <c r="M80" s="854" t="s">
        <v>1260</v>
      </c>
      <c r="N80" s="856">
        <v>44782.3</v>
      </c>
      <c r="O80" s="857">
        <v>7.4287609999999997</v>
      </c>
      <c r="P80" s="856">
        <v>332677.0037303</v>
      </c>
      <c r="Q80" s="858">
        <v>44774</v>
      </c>
    </row>
    <row r="81" spans="1:17" x14ac:dyDescent="0.25">
      <c r="A81" s="851" t="s">
        <v>1338</v>
      </c>
      <c r="B81" s="859">
        <v>12814</v>
      </c>
      <c r="C81" s="852" t="s">
        <v>739</v>
      </c>
      <c r="D81" s="853" t="s">
        <v>1061</v>
      </c>
      <c r="E81" s="853" t="s">
        <v>1061</v>
      </c>
      <c r="F81" s="852" t="s">
        <v>1339</v>
      </c>
      <c r="G81" s="853" t="s">
        <v>540</v>
      </c>
      <c r="H81" s="854" t="s">
        <v>849</v>
      </c>
      <c r="I81" s="854" t="s">
        <v>1063</v>
      </c>
      <c r="J81" s="854" t="s">
        <v>1340</v>
      </c>
      <c r="K81" s="852" t="s">
        <v>1072</v>
      </c>
      <c r="L81" s="855"/>
      <c r="M81" s="854" t="s">
        <v>1260</v>
      </c>
      <c r="N81" s="856">
        <v>96426.62</v>
      </c>
      <c r="O81" s="857">
        <v>7.477214</v>
      </c>
      <c r="P81" s="856">
        <v>721002.47303668002</v>
      </c>
      <c r="Q81" s="858">
        <v>44805</v>
      </c>
    </row>
    <row r="82" spans="1:17" x14ac:dyDescent="0.25">
      <c r="A82" s="851" t="s">
        <v>1341</v>
      </c>
      <c r="B82" s="859">
        <v>12823</v>
      </c>
      <c r="C82" s="852" t="s">
        <v>739</v>
      </c>
      <c r="D82" s="853" t="s">
        <v>1061</v>
      </c>
      <c r="E82" s="853" t="s">
        <v>1061</v>
      </c>
      <c r="F82" s="852" t="s">
        <v>1342</v>
      </c>
      <c r="G82" s="853" t="s">
        <v>540</v>
      </c>
      <c r="H82" s="854" t="s">
        <v>849</v>
      </c>
      <c r="I82" s="854" t="s">
        <v>1063</v>
      </c>
      <c r="J82" s="854" t="s">
        <v>1343</v>
      </c>
      <c r="K82" s="852" t="s">
        <v>1072</v>
      </c>
      <c r="L82" s="855"/>
      <c r="M82" s="854" t="s">
        <v>1260</v>
      </c>
      <c r="N82" s="856">
        <v>98540.82</v>
      </c>
      <c r="O82" s="857">
        <v>7.5312229999999998</v>
      </c>
      <c r="P82" s="856">
        <v>742132.89002286003</v>
      </c>
      <c r="Q82" s="858">
        <v>44835</v>
      </c>
    </row>
    <row r="83" spans="1:17" x14ac:dyDescent="0.25">
      <c r="A83" s="851" t="s">
        <v>1344</v>
      </c>
      <c r="B83" s="859">
        <v>9750</v>
      </c>
      <c r="C83" s="852" t="s">
        <v>739</v>
      </c>
      <c r="D83" s="853" t="s">
        <v>1061</v>
      </c>
      <c r="E83" s="853" t="s">
        <v>1061</v>
      </c>
      <c r="F83" s="852" t="s">
        <v>1345</v>
      </c>
      <c r="G83" s="853" t="s">
        <v>540</v>
      </c>
      <c r="H83" s="854" t="s">
        <v>849</v>
      </c>
      <c r="I83" s="854" t="s">
        <v>1063</v>
      </c>
      <c r="J83" s="854" t="s">
        <v>1346</v>
      </c>
      <c r="K83" s="852" t="s">
        <v>1072</v>
      </c>
      <c r="L83" s="855"/>
      <c r="M83" s="854" t="s">
        <v>1260</v>
      </c>
      <c r="N83" s="856">
        <v>74672.55</v>
      </c>
      <c r="O83" s="857">
        <v>7.5718649999999998</v>
      </c>
      <c r="P83" s="856">
        <v>565410.46780574997</v>
      </c>
      <c r="Q83" s="858">
        <v>44866</v>
      </c>
    </row>
    <row r="84" spans="1:17" x14ac:dyDescent="0.25">
      <c r="A84" s="851" t="s">
        <v>1347</v>
      </c>
      <c r="B84" s="859">
        <v>11615</v>
      </c>
      <c r="C84" s="852" t="s">
        <v>739</v>
      </c>
      <c r="D84" s="853" t="s">
        <v>1061</v>
      </c>
      <c r="E84" s="853" t="s">
        <v>1061</v>
      </c>
      <c r="F84" s="852" t="s">
        <v>1348</v>
      </c>
      <c r="G84" s="853" t="s">
        <v>540</v>
      </c>
      <c r="H84" s="854" t="s">
        <v>849</v>
      </c>
      <c r="I84" s="854" t="s">
        <v>1063</v>
      </c>
      <c r="J84" s="854" t="s">
        <v>1349</v>
      </c>
      <c r="K84" s="852" t="s">
        <v>1072</v>
      </c>
      <c r="L84" s="855"/>
      <c r="M84" s="854" t="s">
        <v>1260</v>
      </c>
      <c r="N84" s="856">
        <v>70789.73</v>
      </c>
      <c r="O84" s="857">
        <v>7.6189020000000003</v>
      </c>
      <c r="P84" s="856">
        <v>539340.01547645999</v>
      </c>
      <c r="Q84" s="858">
        <v>44896</v>
      </c>
    </row>
    <row r="85" spans="1:17" x14ac:dyDescent="0.25">
      <c r="A85" s="851" t="s">
        <v>1350</v>
      </c>
      <c r="B85" s="859">
        <v>52975</v>
      </c>
      <c r="C85" s="852" t="s">
        <v>739</v>
      </c>
      <c r="D85" s="853" t="s">
        <v>1061</v>
      </c>
      <c r="E85" s="853" t="s">
        <v>1061</v>
      </c>
      <c r="F85" s="852" t="s">
        <v>1351</v>
      </c>
      <c r="G85" s="853" t="s">
        <v>540</v>
      </c>
      <c r="H85" s="854" t="s">
        <v>849</v>
      </c>
      <c r="I85" s="854" t="s">
        <v>1063</v>
      </c>
      <c r="J85" s="854" t="s">
        <v>1352</v>
      </c>
      <c r="K85" s="852" t="s">
        <v>1072</v>
      </c>
      <c r="L85" s="855"/>
      <c r="M85" s="854" t="s">
        <v>1260</v>
      </c>
      <c r="N85" s="856">
        <v>117097.19</v>
      </c>
      <c r="O85" s="857">
        <v>7.7416840000000002</v>
      </c>
      <c r="P85" s="856">
        <v>906529.44226796005</v>
      </c>
      <c r="Q85" s="858">
        <v>44986</v>
      </c>
    </row>
    <row r="86" spans="1:17" x14ac:dyDescent="0.25">
      <c r="A86" s="851" t="s">
        <v>1353</v>
      </c>
      <c r="B86" s="859">
        <v>52088</v>
      </c>
      <c r="C86" s="852" t="s">
        <v>739</v>
      </c>
      <c r="D86" s="853" t="s">
        <v>1061</v>
      </c>
      <c r="E86" s="853" t="s">
        <v>1061</v>
      </c>
      <c r="F86" s="852" t="s">
        <v>1354</v>
      </c>
      <c r="G86" s="853" t="s">
        <v>540</v>
      </c>
      <c r="H86" s="854" t="s">
        <v>849</v>
      </c>
      <c r="I86" s="854" t="s">
        <v>1063</v>
      </c>
      <c r="J86" s="854" t="s">
        <v>1355</v>
      </c>
      <c r="K86" s="852" t="s">
        <v>1072</v>
      </c>
      <c r="L86" s="855"/>
      <c r="M86" s="854" t="s">
        <v>1260</v>
      </c>
      <c r="N86" s="856">
        <v>51425.5</v>
      </c>
      <c r="O86" s="857">
        <v>7.7416840000000002</v>
      </c>
      <c r="P86" s="856">
        <v>398119.97054200002</v>
      </c>
      <c r="Q86" s="858">
        <v>44986</v>
      </c>
    </row>
    <row r="87" spans="1:17" x14ac:dyDescent="0.25">
      <c r="A87" s="851" t="s">
        <v>1356</v>
      </c>
      <c r="B87" s="859">
        <v>8345</v>
      </c>
      <c r="C87" s="852" t="s">
        <v>739</v>
      </c>
      <c r="D87" s="853" t="s">
        <v>1061</v>
      </c>
      <c r="E87" s="853" t="s">
        <v>1061</v>
      </c>
      <c r="F87" s="852" t="s">
        <v>1357</v>
      </c>
      <c r="G87" s="853" t="s">
        <v>540</v>
      </c>
      <c r="H87" s="854" t="s">
        <v>909</v>
      </c>
      <c r="I87" s="854" t="s">
        <v>1358</v>
      </c>
      <c r="J87" s="854" t="s">
        <v>1359</v>
      </c>
      <c r="K87" s="852" t="s">
        <v>1072</v>
      </c>
      <c r="L87" s="855"/>
      <c r="M87" s="854" t="s">
        <v>1260</v>
      </c>
      <c r="N87" s="856">
        <v>58520.34</v>
      </c>
      <c r="O87" s="857">
        <v>7.7828629999999999</v>
      </c>
      <c r="P87" s="856">
        <v>455455.78893341997</v>
      </c>
      <c r="Q87" s="858">
        <v>45047</v>
      </c>
    </row>
    <row r="88" spans="1:17" x14ac:dyDescent="0.25">
      <c r="A88" s="851" t="s">
        <v>1360</v>
      </c>
      <c r="B88" s="859">
        <v>52081</v>
      </c>
      <c r="C88" s="852" t="s">
        <v>739</v>
      </c>
      <c r="D88" s="853" t="s">
        <v>1061</v>
      </c>
      <c r="E88" s="853" t="s">
        <v>1061</v>
      </c>
      <c r="F88" s="852" t="s">
        <v>1361</v>
      </c>
      <c r="G88" s="853" t="s">
        <v>540</v>
      </c>
      <c r="H88" s="854" t="s">
        <v>909</v>
      </c>
      <c r="I88" s="854" t="s">
        <v>1358</v>
      </c>
      <c r="J88" s="854" t="s">
        <v>1362</v>
      </c>
      <c r="K88" s="852" t="s">
        <v>1072</v>
      </c>
      <c r="L88" s="855"/>
      <c r="M88" s="854" t="s">
        <v>1260</v>
      </c>
      <c r="N88" s="856">
        <v>52798.67</v>
      </c>
      <c r="O88" s="857">
        <v>7.8310959999999996</v>
      </c>
      <c r="P88" s="856">
        <v>413471.45344231999</v>
      </c>
      <c r="Q88" s="858">
        <v>45170</v>
      </c>
    </row>
    <row r="89" spans="1:17" x14ac:dyDescent="0.25">
      <c r="A89" s="851" t="s">
        <v>1363</v>
      </c>
      <c r="B89" s="859">
        <v>9732</v>
      </c>
      <c r="C89" s="852" t="s">
        <v>739</v>
      </c>
      <c r="D89" s="853" t="s">
        <v>1061</v>
      </c>
      <c r="E89" s="853" t="s">
        <v>1061</v>
      </c>
      <c r="F89" s="852" t="s">
        <v>1364</v>
      </c>
      <c r="G89" s="853" t="s">
        <v>540</v>
      </c>
      <c r="H89" s="854" t="s">
        <v>849</v>
      </c>
      <c r="I89" s="854" t="s">
        <v>1063</v>
      </c>
      <c r="J89" s="854" t="s">
        <v>1365</v>
      </c>
      <c r="K89" s="852" t="s">
        <v>1072</v>
      </c>
      <c r="L89" s="855"/>
      <c r="M89" s="854" t="s">
        <v>1260</v>
      </c>
      <c r="N89" s="856">
        <v>64741.59</v>
      </c>
      <c r="O89" s="857">
        <v>7.8310959999999996</v>
      </c>
      <c r="P89" s="856">
        <v>506997.60648264003</v>
      </c>
      <c r="Q89" s="858">
        <v>45170</v>
      </c>
    </row>
    <row r="90" spans="1:17" x14ac:dyDescent="0.25">
      <c r="A90" s="851" t="s">
        <v>1366</v>
      </c>
      <c r="B90" s="859">
        <v>8327</v>
      </c>
      <c r="C90" s="852" t="s">
        <v>739</v>
      </c>
      <c r="D90" s="853" t="s">
        <v>1061</v>
      </c>
      <c r="E90" s="853" t="s">
        <v>1061</v>
      </c>
      <c r="F90" s="852" t="s">
        <v>1367</v>
      </c>
      <c r="G90" s="853" t="s">
        <v>540</v>
      </c>
      <c r="H90" s="854" t="s">
        <v>909</v>
      </c>
      <c r="I90" s="854" t="s">
        <v>1233</v>
      </c>
      <c r="J90" s="854" t="s">
        <v>1368</v>
      </c>
      <c r="K90" s="852" t="s">
        <v>1072</v>
      </c>
      <c r="L90" s="855"/>
      <c r="M90" s="854" t="s">
        <v>1260</v>
      </c>
      <c r="N90" s="856">
        <v>60904.26</v>
      </c>
      <c r="O90" s="857">
        <v>7.8729649999999998</v>
      </c>
      <c r="P90" s="856">
        <v>479497.10733089998</v>
      </c>
      <c r="Q90" s="858">
        <v>45200</v>
      </c>
    </row>
    <row r="91" spans="1:17" x14ac:dyDescent="0.25">
      <c r="A91" s="851" t="s">
        <v>1369</v>
      </c>
      <c r="B91" s="859">
        <v>9653</v>
      </c>
      <c r="C91" s="852" t="s">
        <v>739</v>
      </c>
      <c r="D91" s="853" t="s">
        <v>1061</v>
      </c>
      <c r="E91" s="853" t="s">
        <v>1061</v>
      </c>
      <c r="F91" s="852" t="s">
        <v>1370</v>
      </c>
      <c r="G91" s="853" t="s">
        <v>540</v>
      </c>
      <c r="H91" s="854" t="s">
        <v>849</v>
      </c>
      <c r="I91" s="854" t="s">
        <v>1063</v>
      </c>
      <c r="J91" s="854" t="s">
        <v>1371</v>
      </c>
      <c r="K91" s="852" t="s">
        <v>1072</v>
      </c>
      <c r="L91" s="855"/>
      <c r="M91" s="854" t="s">
        <v>1260</v>
      </c>
      <c r="N91" s="856">
        <v>75368.37</v>
      </c>
      <c r="O91" s="857">
        <v>7.9446899999999996</v>
      </c>
      <c r="P91" s="856">
        <v>598778.33545530005</v>
      </c>
      <c r="Q91" s="858">
        <v>45261</v>
      </c>
    </row>
    <row r="92" spans="1:17" x14ac:dyDescent="0.25">
      <c r="A92" s="851" t="s">
        <v>1372</v>
      </c>
      <c r="B92" s="859">
        <v>8336</v>
      </c>
      <c r="C92" s="852" t="s">
        <v>739</v>
      </c>
      <c r="D92" s="853" t="s">
        <v>1061</v>
      </c>
      <c r="E92" s="853" t="s">
        <v>1061</v>
      </c>
      <c r="F92" s="852" t="s">
        <v>1373</v>
      </c>
      <c r="G92" s="853" t="s">
        <v>540</v>
      </c>
      <c r="H92" s="854" t="s">
        <v>909</v>
      </c>
      <c r="I92" s="854" t="s">
        <v>1299</v>
      </c>
      <c r="J92" s="854" t="s">
        <v>1374</v>
      </c>
      <c r="K92" s="852" t="s">
        <v>1072</v>
      </c>
      <c r="L92" s="855"/>
      <c r="M92" s="854" t="s">
        <v>1260</v>
      </c>
      <c r="N92" s="856">
        <v>57799.01</v>
      </c>
      <c r="O92" s="857">
        <v>7.9841850000000001</v>
      </c>
      <c r="P92" s="856">
        <v>461477.98865685001</v>
      </c>
      <c r="Q92" s="858">
        <v>45292</v>
      </c>
    </row>
    <row r="98" spans="13:16" x14ac:dyDescent="0.25">
      <c r="M98" s="847">
        <f>SUBTOTAL(3,N2:N92)</f>
        <v>36</v>
      </c>
      <c r="N98" s="20">
        <f>SUBTOTAL(9,N2:N92)</f>
        <v>3067101.0899999989</v>
      </c>
      <c r="P98" s="20">
        <f>SUBTOTAL(9,P2:P92)</f>
        <v>20734286.345081098</v>
      </c>
    </row>
    <row r="102" spans="13:16" x14ac:dyDescent="0.25">
      <c r="M102">
        <f>+'REPORTE COBRANZA N'!H81</f>
        <v>36</v>
      </c>
      <c r="N102" s="19">
        <f>+'REPORTE COBRANZA N'!H82</f>
        <v>3067101.09</v>
      </c>
    </row>
  </sheetData>
  <autoFilter ref="A1:R92" xr:uid="{190931EE-D11B-4875-B366-840D87CC3992}">
    <filterColumn colId="12">
      <filters>
        <filter val="DISPONIBLE"/>
      </filters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58F5-1CB1-427F-8E8C-EACA614DACE7}">
  <dimension ref="A1"/>
  <sheetViews>
    <sheetView zoomScaleNormal="100" workbookViewId="0">
      <selection activeCell="A41" sqref="A41"/>
    </sheetView>
  </sheetViews>
  <sheetFormatPr baseColWidth="10" defaultRowHeight="15" x14ac:dyDescent="0.25"/>
  <cols>
    <col min="1" max="1" width="91.85546875" customWidth="1"/>
  </cols>
  <sheetData>
    <row r="1" spans="1:1" x14ac:dyDescent="0.25">
      <c r="A1" t="e" vm="1">
        <v>#VALUE!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A333-D985-4AC6-A3E0-E45E6AF954E4}">
  <sheetPr>
    <tabColor rgb="FF92D050"/>
    <pageSetUpPr fitToPage="1"/>
  </sheetPr>
  <dimension ref="B1:P106"/>
  <sheetViews>
    <sheetView view="pageBreakPreview" topLeftCell="A70" zoomScale="90" zoomScaleNormal="85" zoomScaleSheetLayoutView="90" workbookViewId="0">
      <selection activeCell="A76" sqref="A76:XFD76"/>
    </sheetView>
  </sheetViews>
  <sheetFormatPr baseColWidth="10" defaultRowHeight="12.75" x14ac:dyDescent="0.2"/>
  <cols>
    <col min="1" max="1" width="3.140625" style="21" customWidth="1"/>
    <col min="2" max="2" width="4.5703125" style="21" customWidth="1"/>
    <col min="3" max="3" width="41.85546875" style="21" customWidth="1"/>
    <col min="4" max="4" width="13.42578125" style="21" customWidth="1"/>
    <col min="5" max="5" width="17.28515625" style="21" bestFit="1" customWidth="1"/>
    <col min="6" max="6" width="21" style="21" customWidth="1"/>
    <col min="7" max="7" width="16.42578125" style="21" customWidth="1"/>
    <col min="8" max="8" width="18" style="21" customWidth="1"/>
    <col min="9" max="9" width="17.28515625" style="21" customWidth="1"/>
    <col min="10" max="10" width="22.7109375" style="21" customWidth="1"/>
    <col min="11" max="11" width="15.28515625" style="16" customWidth="1"/>
    <col min="12" max="12" width="12.140625" style="21" customWidth="1"/>
    <col min="13" max="13" width="6.42578125" style="21" customWidth="1"/>
    <col min="14" max="14" width="6.28515625" style="21" customWidth="1"/>
    <col min="15" max="254" width="9.140625" style="21" customWidth="1"/>
    <col min="255" max="255" width="4.140625" style="21" customWidth="1"/>
    <col min="256" max="256" width="43.85546875" style="21" customWidth="1"/>
    <col min="257" max="257" width="0.140625" style="21" customWidth="1"/>
    <col min="258" max="259" width="14.7109375" style="21" customWidth="1"/>
    <col min="260" max="260" width="24.5703125" style="21" customWidth="1"/>
    <col min="261" max="261" width="23.85546875" style="21" customWidth="1"/>
    <col min="262" max="262" width="0.28515625" style="21" customWidth="1"/>
    <col min="263" max="263" width="14.28515625" style="21" customWidth="1"/>
    <col min="264" max="264" width="14.5703125" style="21" customWidth="1"/>
    <col min="265" max="265" width="0.28515625" style="21" customWidth="1"/>
    <col min="266" max="266" width="4.7109375" style="21" customWidth="1"/>
    <col min="267" max="510" width="9.140625" style="21" customWidth="1"/>
    <col min="511" max="511" width="4.140625" style="21" customWidth="1"/>
    <col min="512" max="512" width="43.85546875" style="21" customWidth="1"/>
    <col min="513" max="513" width="0.140625" style="21" customWidth="1"/>
    <col min="514" max="515" width="14.7109375" style="21" customWidth="1"/>
    <col min="516" max="516" width="24.5703125" style="21" customWidth="1"/>
    <col min="517" max="517" width="23.85546875" style="21" customWidth="1"/>
    <col min="518" max="518" width="0.28515625" style="21" customWidth="1"/>
    <col min="519" max="519" width="14.28515625" style="21" customWidth="1"/>
    <col min="520" max="520" width="14.5703125" style="21" customWidth="1"/>
    <col min="521" max="521" width="0.28515625" style="21" customWidth="1"/>
    <col min="522" max="522" width="4.7109375" style="21" customWidth="1"/>
    <col min="523" max="766" width="9.140625" style="21" customWidth="1"/>
    <col min="767" max="767" width="4.140625" style="21" customWidth="1"/>
    <col min="768" max="768" width="43.85546875" style="21" customWidth="1"/>
    <col min="769" max="769" width="0.140625" style="21" customWidth="1"/>
    <col min="770" max="771" width="14.7109375" style="21" customWidth="1"/>
    <col min="772" max="772" width="24.5703125" style="21" customWidth="1"/>
    <col min="773" max="773" width="23.85546875" style="21" customWidth="1"/>
    <col min="774" max="774" width="0.28515625" style="21" customWidth="1"/>
    <col min="775" max="775" width="14.28515625" style="21" customWidth="1"/>
    <col min="776" max="776" width="14.5703125" style="21" customWidth="1"/>
    <col min="777" max="777" width="0.28515625" style="21" customWidth="1"/>
    <col min="778" max="778" width="4.7109375" style="21" customWidth="1"/>
    <col min="779" max="1022" width="9.140625" style="21" customWidth="1"/>
    <col min="1023" max="1023" width="4.140625" style="21" customWidth="1"/>
    <col min="1024" max="1024" width="43.85546875" style="21" customWidth="1"/>
    <col min="1025" max="1025" width="0.140625" style="21" customWidth="1"/>
    <col min="1026" max="1027" width="14.7109375" style="21" customWidth="1"/>
    <col min="1028" max="1028" width="24.5703125" style="21" customWidth="1"/>
    <col min="1029" max="1029" width="23.85546875" style="21" customWidth="1"/>
    <col min="1030" max="1030" width="0.28515625" style="21" customWidth="1"/>
    <col min="1031" max="1031" width="14.28515625" style="21" customWidth="1"/>
    <col min="1032" max="1032" width="14.5703125" style="21" customWidth="1"/>
    <col min="1033" max="1033" width="0.28515625" style="21" customWidth="1"/>
    <col min="1034" max="1034" width="4.7109375" style="21" customWidth="1"/>
    <col min="1035" max="1278" width="9.140625" style="21" customWidth="1"/>
    <col min="1279" max="1279" width="4.140625" style="21" customWidth="1"/>
    <col min="1280" max="1280" width="43.85546875" style="21" customWidth="1"/>
    <col min="1281" max="1281" width="0.140625" style="21" customWidth="1"/>
    <col min="1282" max="1283" width="14.7109375" style="21" customWidth="1"/>
    <col min="1284" max="1284" width="24.5703125" style="21" customWidth="1"/>
    <col min="1285" max="1285" width="23.85546875" style="21" customWidth="1"/>
    <col min="1286" max="1286" width="0.28515625" style="21" customWidth="1"/>
    <col min="1287" max="1287" width="14.28515625" style="21" customWidth="1"/>
    <col min="1288" max="1288" width="14.5703125" style="21" customWidth="1"/>
    <col min="1289" max="1289" width="0.28515625" style="21" customWidth="1"/>
    <col min="1290" max="1290" width="4.7109375" style="21" customWidth="1"/>
    <col min="1291" max="1534" width="9.140625" style="21" customWidth="1"/>
    <col min="1535" max="1535" width="4.140625" style="21" customWidth="1"/>
    <col min="1536" max="1536" width="43.85546875" style="21" customWidth="1"/>
    <col min="1537" max="1537" width="0.140625" style="21" customWidth="1"/>
    <col min="1538" max="1539" width="14.7109375" style="21" customWidth="1"/>
    <col min="1540" max="1540" width="24.5703125" style="21" customWidth="1"/>
    <col min="1541" max="1541" width="23.85546875" style="21" customWidth="1"/>
    <col min="1542" max="1542" width="0.28515625" style="21" customWidth="1"/>
    <col min="1543" max="1543" width="14.28515625" style="21" customWidth="1"/>
    <col min="1544" max="1544" width="14.5703125" style="21" customWidth="1"/>
    <col min="1545" max="1545" width="0.28515625" style="21" customWidth="1"/>
    <col min="1546" max="1546" width="4.7109375" style="21" customWidth="1"/>
    <col min="1547" max="1790" width="9.140625" style="21" customWidth="1"/>
    <col min="1791" max="1791" width="4.140625" style="21" customWidth="1"/>
    <col min="1792" max="1792" width="43.85546875" style="21" customWidth="1"/>
    <col min="1793" max="1793" width="0.140625" style="21" customWidth="1"/>
    <col min="1794" max="1795" width="14.7109375" style="21" customWidth="1"/>
    <col min="1796" max="1796" width="24.5703125" style="21" customWidth="1"/>
    <col min="1797" max="1797" width="23.85546875" style="21" customWidth="1"/>
    <col min="1798" max="1798" width="0.28515625" style="21" customWidth="1"/>
    <col min="1799" max="1799" width="14.28515625" style="21" customWidth="1"/>
    <col min="1800" max="1800" width="14.5703125" style="21" customWidth="1"/>
    <col min="1801" max="1801" width="0.28515625" style="21" customWidth="1"/>
    <col min="1802" max="1802" width="4.7109375" style="21" customWidth="1"/>
    <col min="1803" max="2046" width="9.140625" style="21" customWidth="1"/>
    <col min="2047" max="2047" width="4.140625" style="21" customWidth="1"/>
    <col min="2048" max="2048" width="43.85546875" style="21" customWidth="1"/>
    <col min="2049" max="2049" width="0.140625" style="21" customWidth="1"/>
    <col min="2050" max="2051" width="14.7109375" style="21" customWidth="1"/>
    <col min="2052" max="2052" width="24.5703125" style="21" customWidth="1"/>
    <col min="2053" max="2053" width="23.85546875" style="21" customWidth="1"/>
    <col min="2054" max="2054" width="0.28515625" style="21" customWidth="1"/>
    <col min="2055" max="2055" width="14.28515625" style="21" customWidth="1"/>
    <col min="2056" max="2056" width="14.5703125" style="21" customWidth="1"/>
    <col min="2057" max="2057" width="0.28515625" style="21" customWidth="1"/>
    <col min="2058" max="2058" width="4.7109375" style="21" customWidth="1"/>
    <col min="2059" max="2302" width="9.140625" style="21" customWidth="1"/>
    <col min="2303" max="2303" width="4.140625" style="21" customWidth="1"/>
    <col min="2304" max="2304" width="43.85546875" style="21" customWidth="1"/>
    <col min="2305" max="2305" width="0.140625" style="21" customWidth="1"/>
    <col min="2306" max="2307" width="14.7109375" style="21" customWidth="1"/>
    <col min="2308" max="2308" width="24.5703125" style="21" customWidth="1"/>
    <col min="2309" max="2309" width="23.85546875" style="21" customWidth="1"/>
    <col min="2310" max="2310" width="0.28515625" style="21" customWidth="1"/>
    <col min="2311" max="2311" width="14.28515625" style="21" customWidth="1"/>
    <col min="2312" max="2312" width="14.5703125" style="21" customWidth="1"/>
    <col min="2313" max="2313" width="0.28515625" style="21" customWidth="1"/>
    <col min="2314" max="2314" width="4.7109375" style="21" customWidth="1"/>
    <col min="2315" max="2558" width="9.140625" style="21" customWidth="1"/>
    <col min="2559" max="2559" width="4.140625" style="21" customWidth="1"/>
    <col min="2560" max="2560" width="43.85546875" style="21" customWidth="1"/>
    <col min="2561" max="2561" width="0.140625" style="21" customWidth="1"/>
    <col min="2562" max="2563" width="14.7109375" style="21" customWidth="1"/>
    <col min="2564" max="2564" width="24.5703125" style="21" customWidth="1"/>
    <col min="2565" max="2565" width="23.85546875" style="21" customWidth="1"/>
    <col min="2566" max="2566" width="0.28515625" style="21" customWidth="1"/>
    <col min="2567" max="2567" width="14.28515625" style="21" customWidth="1"/>
    <col min="2568" max="2568" width="14.5703125" style="21" customWidth="1"/>
    <col min="2569" max="2569" width="0.28515625" style="21" customWidth="1"/>
    <col min="2570" max="2570" width="4.7109375" style="21" customWidth="1"/>
    <col min="2571" max="2814" width="9.140625" style="21" customWidth="1"/>
    <col min="2815" max="2815" width="4.140625" style="21" customWidth="1"/>
    <col min="2816" max="2816" width="43.85546875" style="21" customWidth="1"/>
    <col min="2817" max="2817" width="0.140625" style="21" customWidth="1"/>
    <col min="2818" max="2819" width="14.7109375" style="21" customWidth="1"/>
    <col min="2820" max="2820" width="24.5703125" style="21" customWidth="1"/>
    <col min="2821" max="2821" width="23.85546875" style="21" customWidth="1"/>
    <col min="2822" max="2822" width="0.28515625" style="21" customWidth="1"/>
    <col min="2823" max="2823" width="14.28515625" style="21" customWidth="1"/>
    <col min="2824" max="2824" width="14.5703125" style="21" customWidth="1"/>
    <col min="2825" max="2825" width="0.28515625" style="21" customWidth="1"/>
    <col min="2826" max="2826" width="4.7109375" style="21" customWidth="1"/>
    <col min="2827" max="3070" width="9.140625" style="21" customWidth="1"/>
    <col min="3071" max="3071" width="4.140625" style="21" customWidth="1"/>
    <col min="3072" max="3072" width="43.85546875" style="21" customWidth="1"/>
    <col min="3073" max="3073" width="0.140625" style="21" customWidth="1"/>
    <col min="3074" max="3075" width="14.7109375" style="21" customWidth="1"/>
    <col min="3076" max="3076" width="24.5703125" style="21" customWidth="1"/>
    <col min="3077" max="3077" width="23.85546875" style="21" customWidth="1"/>
    <col min="3078" max="3078" width="0.28515625" style="21" customWidth="1"/>
    <col min="3079" max="3079" width="14.28515625" style="21" customWidth="1"/>
    <col min="3080" max="3080" width="14.5703125" style="21" customWidth="1"/>
    <col min="3081" max="3081" width="0.28515625" style="21" customWidth="1"/>
    <col min="3082" max="3082" width="4.7109375" style="21" customWidth="1"/>
    <col min="3083" max="3326" width="9.140625" style="21" customWidth="1"/>
    <col min="3327" max="3327" width="4.140625" style="21" customWidth="1"/>
    <col min="3328" max="3328" width="43.85546875" style="21" customWidth="1"/>
    <col min="3329" max="3329" width="0.140625" style="21" customWidth="1"/>
    <col min="3330" max="3331" width="14.7109375" style="21" customWidth="1"/>
    <col min="3332" max="3332" width="24.5703125" style="21" customWidth="1"/>
    <col min="3333" max="3333" width="23.85546875" style="21" customWidth="1"/>
    <col min="3334" max="3334" width="0.28515625" style="21" customWidth="1"/>
    <col min="3335" max="3335" width="14.28515625" style="21" customWidth="1"/>
    <col min="3336" max="3336" width="14.5703125" style="21" customWidth="1"/>
    <col min="3337" max="3337" width="0.28515625" style="21" customWidth="1"/>
    <col min="3338" max="3338" width="4.7109375" style="21" customWidth="1"/>
    <col min="3339" max="3582" width="9.140625" style="21" customWidth="1"/>
    <col min="3583" max="3583" width="4.140625" style="21" customWidth="1"/>
    <col min="3584" max="3584" width="43.85546875" style="21" customWidth="1"/>
    <col min="3585" max="3585" width="0.140625" style="21" customWidth="1"/>
    <col min="3586" max="3587" width="14.7109375" style="21" customWidth="1"/>
    <col min="3588" max="3588" width="24.5703125" style="21" customWidth="1"/>
    <col min="3589" max="3589" width="23.85546875" style="21" customWidth="1"/>
    <col min="3590" max="3590" width="0.28515625" style="21" customWidth="1"/>
    <col min="3591" max="3591" width="14.28515625" style="21" customWidth="1"/>
    <col min="3592" max="3592" width="14.5703125" style="21" customWidth="1"/>
    <col min="3593" max="3593" width="0.28515625" style="21" customWidth="1"/>
    <col min="3594" max="3594" width="4.7109375" style="21" customWidth="1"/>
    <col min="3595" max="3838" width="9.140625" style="21" customWidth="1"/>
    <col min="3839" max="3839" width="4.140625" style="21" customWidth="1"/>
    <col min="3840" max="3840" width="43.85546875" style="21" customWidth="1"/>
    <col min="3841" max="3841" width="0.140625" style="21" customWidth="1"/>
    <col min="3842" max="3843" width="14.7109375" style="21" customWidth="1"/>
    <col min="3844" max="3844" width="24.5703125" style="21" customWidth="1"/>
    <col min="3845" max="3845" width="23.85546875" style="21" customWidth="1"/>
    <col min="3846" max="3846" width="0.28515625" style="21" customWidth="1"/>
    <col min="3847" max="3847" width="14.28515625" style="21" customWidth="1"/>
    <col min="3848" max="3848" width="14.5703125" style="21" customWidth="1"/>
    <col min="3849" max="3849" width="0.28515625" style="21" customWidth="1"/>
    <col min="3850" max="3850" width="4.7109375" style="21" customWidth="1"/>
    <col min="3851" max="4094" width="9.140625" style="21" customWidth="1"/>
    <col min="4095" max="4095" width="4.140625" style="21" customWidth="1"/>
    <col min="4096" max="4096" width="43.85546875" style="21" customWidth="1"/>
    <col min="4097" max="4097" width="0.140625" style="21" customWidth="1"/>
    <col min="4098" max="4099" width="14.7109375" style="21" customWidth="1"/>
    <col min="4100" max="4100" width="24.5703125" style="21" customWidth="1"/>
    <col min="4101" max="4101" width="23.85546875" style="21" customWidth="1"/>
    <col min="4102" max="4102" width="0.28515625" style="21" customWidth="1"/>
    <col min="4103" max="4103" width="14.28515625" style="21" customWidth="1"/>
    <col min="4104" max="4104" width="14.5703125" style="21" customWidth="1"/>
    <col min="4105" max="4105" width="0.28515625" style="21" customWidth="1"/>
    <col min="4106" max="4106" width="4.7109375" style="21" customWidth="1"/>
    <col min="4107" max="4350" width="9.140625" style="21" customWidth="1"/>
    <col min="4351" max="4351" width="4.140625" style="21" customWidth="1"/>
    <col min="4352" max="4352" width="43.85546875" style="21" customWidth="1"/>
    <col min="4353" max="4353" width="0.140625" style="21" customWidth="1"/>
    <col min="4354" max="4355" width="14.7109375" style="21" customWidth="1"/>
    <col min="4356" max="4356" width="24.5703125" style="21" customWidth="1"/>
    <col min="4357" max="4357" width="23.85546875" style="21" customWidth="1"/>
    <col min="4358" max="4358" width="0.28515625" style="21" customWidth="1"/>
    <col min="4359" max="4359" width="14.28515625" style="21" customWidth="1"/>
    <col min="4360" max="4360" width="14.5703125" style="21" customWidth="1"/>
    <col min="4361" max="4361" width="0.28515625" style="21" customWidth="1"/>
    <col min="4362" max="4362" width="4.7109375" style="21" customWidth="1"/>
    <col min="4363" max="4606" width="9.140625" style="21" customWidth="1"/>
    <col min="4607" max="4607" width="4.140625" style="21" customWidth="1"/>
    <col min="4608" max="4608" width="43.85546875" style="21" customWidth="1"/>
    <col min="4609" max="4609" width="0.140625" style="21" customWidth="1"/>
    <col min="4610" max="4611" width="14.7109375" style="21" customWidth="1"/>
    <col min="4612" max="4612" width="24.5703125" style="21" customWidth="1"/>
    <col min="4613" max="4613" width="23.85546875" style="21" customWidth="1"/>
    <col min="4614" max="4614" width="0.28515625" style="21" customWidth="1"/>
    <col min="4615" max="4615" width="14.28515625" style="21" customWidth="1"/>
    <col min="4616" max="4616" width="14.5703125" style="21" customWidth="1"/>
    <col min="4617" max="4617" width="0.28515625" style="21" customWidth="1"/>
    <col min="4618" max="4618" width="4.7109375" style="21" customWidth="1"/>
    <col min="4619" max="4862" width="9.140625" style="21" customWidth="1"/>
    <col min="4863" max="4863" width="4.140625" style="21" customWidth="1"/>
    <col min="4864" max="4864" width="43.85546875" style="21" customWidth="1"/>
    <col min="4865" max="4865" width="0.140625" style="21" customWidth="1"/>
    <col min="4866" max="4867" width="14.7109375" style="21" customWidth="1"/>
    <col min="4868" max="4868" width="24.5703125" style="21" customWidth="1"/>
    <col min="4869" max="4869" width="23.85546875" style="21" customWidth="1"/>
    <col min="4870" max="4870" width="0.28515625" style="21" customWidth="1"/>
    <col min="4871" max="4871" width="14.28515625" style="21" customWidth="1"/>
    <col min="4872" max="4872" width="14.5703125" style="21" customWidth="1"/>
    <col min="4873" max="4873" width="0.28515625" style="21" customWidth="1"/>
    <col min="4874" max="4874" width="4.7109375" style="21" customWidth="1"/>
    <col min="4875" max="5118" width="9.140625" style="21" customWidth="1"/>
    <col min="5119" max="5119" width="4.140625" style="21" customWidth="1"/>
    <col min="5120" max="5120" width="43.85546875" style="21" customWidth="1"/>
    <col min="5121" max="5121" width="0.140625" style="21" customWidth="1"/>
    <col min="5122" max="5123" width="14.7109375" style="21" customWidth="1"/>
    <col min="5124" max="5124" width="24.5703125" style="21" customWidth="1"/>
    <col min="5125" max="5125" width="23.85546875" style="21" customWidth="1"/>
    <col min="5126" max="5126" width="0.28515625" style="21" customWidth="1"/>
    <col min="5127" max="5127" width="14.28515625" style="21" customWidth="1"/>
    <col min="5128" max="5128" width="14.5703125" style="21" customWidth="1"/>
    <col min="5129" max="5129" width="0.28515625" style="21" customWidth="1"/>
    <col min="5130" max="5130" width="4.7109375" style="21" customWidth="1"/>
    <col min="5131" max="5374" width="9.140625" style="21" customWidth="1"/>
    <col min="5375" max="5375" width="4.140625" style="21" customWidth="1"/>
    <col min="5376" max="5376" width="43.85546875" style="21" customWidth="1"/>
    <col min="5377" max="5377" width="0.140625" style="21" customWidth="1"/>
    <col min="5378" max="5379" width="14.7109375" style="21" customWidth="1"/>
    <col min="5380" max="5380" width="24.5703125" style="21" customWidth="1"/>
    <col min="5381" max="5381" width="23.85546875" style="21" customWidth="1"/>
    <col min="5382" max="5382" width="0.28515625" style="21" customWidth="1"/>
    <col min="5383" max="5383" width="14.28515625" style="21" customWidth="1"/>
    <col min="5384" max="5384" width="14.5703125" style="21" customWidth="1"/>
    <col min="5385" max="5385" width="0.28515625" style="21" customWidth="1"/>
    <col min="5386" max="5386" width="4.7109375" style="21" customWidth="1"/>
    <col min="5387" max="5630" width="9.140625" style="21" customWidth="1"/>
    <col min="5631" max="5631" width="4.140625" style="21" customWidth="1"/>
    <col min="5632" max="5632" width="43.85546875" style="21" customWidth="1"/>
    <col min="5633" max="5633" width="0.140625" style="21" customWidth="1"/>
    <col min="5634" max="5635" width="14.7109375" style="21" customWidth="1"/>
    <col min="5636" max="5636" width="24.5703125" style="21" customWidth="1"/>
    <col min="5637" max="5637" width="23.85546875" style="21" customWidth="1"/>
    <col min="5638" max="5638" width="0.28515625" style="21" customWidth="1"/>
    <col min="5639" max="5639" width="14.28515625" style="21" customWidth="1"/>
    <col min="5640" max="5640" width="14.5703125" style="21" customWidth="1"/>
    <col min="5641" max="5641" width="0.28515625" style="21" customWidth="1"/>
    <col min="5642" max="5642" width="4.7109375" style="21" customWidth="1"/>
    <col min="5643" max="5886" width="9.140625" style="21" customWidth="1"/>
    <col min="5887" max="5887" width="4.140625" style="21" customWidth="1"/>
    <col min="5888" max="5888" width="43.85546875" style="21" customWidth="1"/>
    <col min="5889" max="5889" width="0.140625" style="21" customWidth="1"/>
    <col min="5890" max="5891" width="14.7109375" style="21" customWidth="1"/>
    <col min="5892" max="5892" width="24.5703125" style="21" customWidth="1"/>
    <col min="5893" max="5893" width="23.85546875" style="21" customWidth="1"/>
    <col min="5894" max="5894" width="0.28515625" style="21" customWidth="1"/>
    <col min="5895" max="5895" width="14.28515625" style="21" customWidth="1"/>
    <col min="5896" max="5896" width="14.5703125" style="21" customWidth="1"/>
    <col min="5897" max="5897" width="0.28515625" style="21" customWidth="1"/>
    <col min="5898" max="5898" width="4.7109375" style="21" customWidth="1"/>
    <col min="5899" max="6142" width="9.140625" style="21" customWidth="1"/>
    <col min="6143" max="6143" width="4.140625" style="21" customWidth="1"/>
    <col min="6144" max="6144" width="43.85546875" style="21" customWidth="1"/>
    <col min="6145" max="6145" width="0.140625" style="21" customWidth="1"/>
    <col min="6146" max="6147" width="14.7109375" style="21" customWidth="1"/>
    <col min="6148" max="6148" width="24.5703125" style="21" customWidth="1"/>
    <col min="6149" max="6149" width="23.85546875" style="21" customWidth="1"/>
    <col min="6150" max="6150" width="0.28515625" style="21" customWidth="1"/>
    <col min="6151" max="6151" width="14.28515625" style="21" customWidth="1"/>
    <col min="6152" max="6152" width="14.5703125" style="21" customWidth="1"/>
    <col min="6153" max="6153" width="0.28515625" style="21" customWidth="1"/>
    <col min="6154" max="6154" width="4.7109375" style="21" customWidth="1"/>
    <col min="6155" max="6398" width="9.140625" style="21" customWidth="1"/>
    <col min="6399" max="6399" width="4.140625" style="21" customWidth="1"/>
    <col min="6400" max="6400" width="43.85546875" style="21" customWidth="1"/>
    <col min="6401" max="6401" width="0.140625" style="21" customWidth="1"/>
    <col min="6402" max="6403" width="14.7109375" style="21" customWidth="1"/>
    <col min="6404" max="6404" width="24.5703125" style="21" customWidth="1"/>
    <col min="6405" max="6405" width="23.85546875" style="21" customWidth="1"/>
    <col min="6406" max="6406" width="0.28515625" style="21" customWidth="1"/>
    <col min="6407" max="6407" width="14.28515625" style="21" customWidth="1"/>
    <col min="6408" max="6408" width="14.5703125" style="21" customWidth="1"/>
    <col min="6409" max="6409" width="0.28515625" style="21" customWidth="1"/>
    <col min="6410" max="6410" width="4.7109375" style="21" customWidth="1"/>
    <col min="6411" max="6654" width="9.140625" style="21" customWidth="1"/>
    <col min="6655" max="6655" width="4.140625" style="21" customWidth="1"/>
    <col min="6656" max="6656" width="43.85546875" style="21" customWidth="1"/>
    <col min="6657" max="6657" width="0.140625" style="21" customWidth="1"/>
    <col min="6658" max="6659" width="14.7109375" style="21" customWidth="1"/>
    <col min="6660" max="6660" width="24.5703125" style="21" customWidth="1"/>
    <col min="6661" max="6661" width="23.85546875" style="21" customWidth="1"/>
    <col min="6662" max="6662" width="0.28515625" style="21" customWidth="1"/>
    <col min="6663" max="6663" width="14.28515625" style="21" customWidth="1"/>
    <col min="6664" max="6664" width="14.5703125" style="21" customWidth="1"/>
    <col min="6665" max="6665" width="0.28515625" style="21" customWidth="1"/>
    <col min="6666" max="6666" width="4.7109375" style="21" customWidth="1"/>
    <col min="6667" max="6910" width="9.140625" style="21" customWidth="1"/>
    <col min="6911" max="6911" width="4.140625" style="21" customWidth="1"/>
    <col min="6912" max="6912" width="43.85546875" style="21" customWidth="1"/>
    <col min="6913" max="6913" width="0.140625" style="21" customWidth="1"/>
    <col min="6914" max="6915" width="14.7109375" style="21" customWidth="1"/>
    <col min="6916" max="6916" width="24.5703125" style="21" customWidth="1"/>
    <col min="6917" max="6917" width="23.85546875" style="21" customWidth="1"/>
    <col min="6918" max="6918" width="0.28515625" style="21" customWidth="1"/>
    <col min="6919" max="6919" width="14.28515625" style="21" customWidth="1"/>
    <col min="6920" max="6920" width="14.5703125" style="21" customWidth="1"/>
    <col min="6921" max="6921" width="0.28515625" style="21" customWidth="1"/>
    <col min="6922" max="6922" width="4.7109375" style="21" customWidth="1"/>
    <col min="6923" max="7166" width="9.140625" style="21" customWidth="1"/>
    <col min="7167" max="7167" width="4.140625" style="21" customWidth="1"/>
    <col min="7168" max="7168" width="43.85546875" style="21" customWidth="1"/>
    <col min="7169" max="7169" width="0.140625" style="21" customWidth="1"/>
    <col min="7170" max="7171" width="14.7109375" style="21" customWidth="1"/>
    <col min="7172" max="7172" width="24.5703125" style="21" customWidth="1"/>
    <col min="7173" max="7173" width="23.85546875" style="21" customWidth="1"/>
    <col min="7174" max="7174" width="0.28515625" style="21" customWidth="1"/>
    <col min="7175" max="7175" width="14.28515625" style="21" customWidth="1"/>
    <col min="7176" max="7176" width="14.5703125" style="21" customWidth="1"/>
    <col min="7177" max="7177" width="0.28515625" style="21" customWidth="1"/>
    <col min="7178" max="7178" width="4.7109375" style="21" customWidth="1"/>
    <col min="7179" max="7422" width="9.140625" style="21" customWidth="1"/>
    <col min="7423" max="7423" width="4.140625" style="21" customWidth="1"/>
    <col min="7424" max="7424" width="43.85546875" style="21" customWidth="1"/>
    <col min="7425" max="7425" width="0.140625" style="21" customWidth="1"/>
    <col min="7426" max="7427" width="14.7109375" style="21" customWidth="1"/>
    <col min="7428" max="7428" width="24.5703125" style="21" customWidth="1"/>
    <col min="7429" max="7429" width="23.85546875" style="21" customWidth="1"/>
    <col min="7430" max="7430" width="0.28515625" style="21" customWidth="1"/>
    <col min="7431" max="7431" width="14.28515625" style="21" customWidth="1"/>
    <col min="7432" max="7432" width="14.5703125" style="21" customWidth="1"/>
    <col min="7433" max="7433" width="0.28515625" style="21" customWidth="1"/>
    <col min="7434" max="7434" width="4.7109375" style="21" customWidth="1"/>
    <col min="7435" max="7678" width="9.140625" style="21" customWidth="1"/>
    <col min="7679" max="7679" width="4.140625" style="21" customWidth="1"/>
    <col min="7680" max="7680" width="43.85546875" style="21" customWidth="1"/>
    <col min="7681" max="7681" width="0.140625" style="21" customWidth="1"/>
    <col min="7682" max="7683" width="14.7109375" style="21" customWidth="1"/>
    <col min="7684" max="7684" width="24.5703125" style="21" customWidth="1"/>
    <col min="7685" max="7685" width="23.85546875" style="21" customWidth="1"/>
    <col min="7686" max="7686" width="0.28515625" style="21" customWidth="1"/>
    <col min="7687" max="7687" width="14.28515625" style="21" customWidth="1"/>
    <col min="7688" max="7688" width="14.5703125" style="21" customWidth="1"/>
    <col min="7689" max="7689" width="0.28515625" style="21" customWidth="1"/>
    <col min="7690" max="7690" width="4.7109375" style="21" customWidth="1"/>
    <col min="7691" max="7934" width="9.140625" style="21" customWidth="1"/>
    <col min="7935" max="7935" width="4.140625" style="21" customWidth="1"/>
    <col min="7936" max="7936" width="43.85546875" style="21" customWidth="1"/>
    <col min="7937" max="7937" width="0.140625" style="21" customWidth="1"/>
    <col min="7938" max="7939" width="14.7109375" style="21" customWidth="1"/>
    <col min="7940" max="7940" width="24.5703125" style="21" customWidth="1"/>
    <col min="7941" max="7941" width="23.85546875" style="21" customWidth="1"/>
    <col min="7942" max="7942" width="0.28515625" style="21" customWidth="1"/>
    <col min="7943" max="7943" width="14.28515625" style="21" customWidth="1"/>
    <col min="7944" max="7944" width="14.5703125" style="21" customWidth="1"/>
    <col min="7945" max="7945" width="0.28515625" style="21" customWidth="1"/>
    <col min="7946" max="7946" width="4.7109375" style="21" customWidth="1"/>
    <col min="7947" max="8190" width="9.140625" style="21" customWidth="1"/>
    <col min="8191" max="8191" width="4.140625" style="21" customWidth="1"/>
    <col min="8192" max="8192" width="43.85546875" style="21" customWidth="1"/>
    <col min="8193" max="8193" width="0.140625" style="21" customWidth="1"/>
    <col min="8194" max="8195" width="14.7109375" style="21" customWidth="1"/>
    <col min="8196" max="8196" width="24.5703125" style="21" customWidth="1"/>
    <col min="8197" max="8197" width="23.85546875" style="21" customWidth="1"/>
    <col min="8198" max="8198" width="0.28515625" style="21" customWidth="1"/>
    <col min="8199" max="8199" width="14.28515625" style="21" customWidth="1"/>
    <col min="8200" max="8200" width="14.5703125" style="21" customWidth="1"/>
    <col min="8201" max="8201" width="0.28515625" style="21" customWidth="1"/>
    <col min="8202" max="8202" width="4.7109375" style="21" customWidth="1"/>
    <col min="8203" max="8446" width="9.140625" style="21" customWidth="1"/>
    <col min="8447" max="8447" width="4.140625" style="21" customWidth="1"/>
    <col min="8448" max="8448" width="43.85546875" style="21" customWidth="1"/>
    <col min="8449" max="8449" width="0.140625" style="21" customWidth="1"/>
    <col min="8450" max="8451" width="14.7109375" style="21" customWidth="1"/>
    <col min="8452" max="8452" width="24.5703125" style="21" customWidth="1"/>
    <col min="8453" max="8453" width="23.85546875" style="21" customWidth="1"/>
    <col min="8454" max="8454" width="0.28515625" style="21" customWidth="1"/>
    <col min="8455" max="8455" width="14.28515625" style="21" customWidth="1"/>
    <col min="8456" max="8456" width="14.5703125" style="21" customWidth="1"/>
    <col min="8457" max="8457" width="0.28515625" style="21" customWidth="1"/>
    <col min="8458" max="8458" width="4.7109375" style="21" customWidth="1"/>
    <col min="8459" max="8702" width="9.140625" style="21" customWidth="1"/>
    <col min="8703" max="8703" width="4.140625" style="21" customWidth="1"/>
    <col min="8704" max="8704" width="43.85546875" style="21" customWidth="1"/>
    <col min="8705" max="8705" width="0.140625" style="21" customWidth="1"/>
    <col min="8706" max="8707" width="14.7109375" style="21" customWidth="1"/>
    <col min="8708" max="8708" width="24.5703125" style="21" customWidth="1"/>
    <col min="8709" max="8709" width="23.85546875" style="21" customWidth="1"/>
    <col min="8710" max="8710" width="0.28515625" style="21" customWidth="1"/>
    <col min="8711" max="8711" width="14.28515625" style="21" customWidth="1"/>
    <col min="8712" max="8712" width="14.5703125" style="21" customWidth="1"/>
    <col min="8713" max="8713" width="0.28515625" style="21" customWidth="1"/>
    <col min="8714" max="8714" width="4.7109375" style="21" customWidth="1"/>
    <col min="8715" max="8958" width="9.140625" style="21" customWidth="1"/>
    <col min="8959" max="8959" width="4.140625" style="21" customWidth="1"/>
    <col min="8960" max="8960" width="43.85546875" style="21" customWidth="1"/>
    <col min="8961" max="8961" width="0.140625" style="21" customWidth="1"/>
    <col min="8962" max="8963" width="14.7109375" style="21" customWidth="1"/>
    <col min="8964" max="8964" width="24.5703125" style="21" customWidth="1"/>
    <col min="8965" max="8965" width="23.85546875" style="21" customWidth="1"/>
    <col min="8966" max="8966" width="0.28515625" style="21" customWidth="1"/>
    <col min="8967" max="8967" width="14.28515625" style="21" customWidth="1"/>
    <col min="8968" max="8968" width="14.5703125" style="21" customWidth="1"/>
    <col min="8969" max="8969" width="0.28515625" style="21" customWidth="1"/>
    <col min="8970" max="8970" width="4.7109375" style="21" customWidth="1"/>
    <col min="8971" max="9214" width="9.140625" style="21" customWidth="1"/>
    <col min="9215" max="9215" width="4.140625" style="21" customWidth="1"/>
    <col min="9216" max="9216" width="43.85546875" style="21" customWidth="1"/>
    <col min="9217" max="9217" width="0.140625" style="21" customWidth="1"/>
    <col min="9218" max="9219" width="14.7109375" style="21" customWidth="1"/>
    <col min="9220" max="9220" width="24.5703125" style="21" customWidth="1"/>
    <col min="9221" max="9221" width="23.85546875" style="21" customWidth="1"/>
    <col min="9222" max="9222" width="0.28515625" style="21" customWidth="1"/>
    <col min="9223" max="9223" width="14.28515625" style="21" customWidth="1"/>
    <col min="9224" max="9224" width="14.5703125" style="21" customWidth="1"/>
    <col min="9225" max="9225" width="0.28515625" style="21" customWidth="1"/>
    <col min="9226" max="9226" width="4.7109375" style="21" customWidth="1"/>
    <col min="9227" max="9470" width="9.140625" style="21" customWidth="1"/>
    <col min="9471" max="9471" width="4.140625" style="21" customWidth="1"/>
    <col min="9472" max="9472" width="43.85546875" style="21" customWidth="1"/>
    <col min="9473" max="9473" width="0.140625" style="21" customWidth="1"/>
    <col min="9474" max="9475" width="14.7109375" style="21" customWidth="1"/>
    <col min="9476" max="9476" width="24.5703125" style="21" customWidth="1"/>
    <col min="9477" max="9477" width="23.85546875" style="21" customWidth="1"/>
    <col min="9478" max="9478" width="0.28515625" style="21" customWidth="1"/>
    <col min="9479" max="9479" width="14.28515625" style="21" customWidth="1"/>
    <col min="9480" max="9480" width="14.5703125" style="21" customWidth="1"/>
    <col min="9481" max="9481" width="0.28515625" style="21" customWidth="1"/>
    <col min="9482" max="9482" width="4.7109375" style="21" customWidth="1"/>
    <col min="9483" max="9726" width="9.140625" style="21" customWidth="1"/>
    <col min="9727" max="9727" width="4.140625" style="21" customWidth="1"/>
    <col min="9728" max="9728" width="43.85546875" style="21" customWidth="1"/>
    <col min="9729" max="9729" width="0.140625" style="21" customWidth="1"/>
    <col min="9730" max="9731" width="14.7109375" style="21" customWidth="1"/>
    <col min="9732" max="9732" width="24.5703125" style="21" customWidth="1"/>
    <col min="9733" max="9733" width="23.85546875" style="21" customWidth="1"/>
    <col min="9734" max="9734" width="0.28515625" style="21" customWidth="1"/>
    <col min="9735" max="9735" width="14.28515625" style="21" customWidth="1"/>
    <col min="9736" max="9736" width="14.5703125" style="21" customWidth="1"/>
    <col min="9737" max="9737" width="0.28515625" style="21" customWidth="1"/>
    <col min="9738" max="9738" width="4.7109375" style="21" customWidth="1"/>
    <col min="9739" max="9982" width="9.140625" style="21" customWidth="1"/>
    <col min="9983" max="9983" width="4.140625" style="21" customWidth="1"/>
    <col min="9984" max="9984" width="43.85546875" style="21" customWidth="1"/>
    <col min="9985" max="9985" width="0.140625" style="21" customWidth="1"/>
    <col min="9986" max="9987" width="14.7109375" style="21" customWidth="1"/>
    <col min="9988" max="9988" width="24.5703125" style="21" customWidth="1"/>
    <col min="9989" max="9989" width="23.85546875" style="21" customWidth="1"/>
    <col min="9990" max="9990" width="0.28515625" style="21" customWidth="1"/>
    <col min="9991" max="9991" width="14.28515625" style="21" customWidth="1"/>
    <col min="9992" max="9992" width="14.5703125" style="21" customWidth="1"/>
    <col min="9993" max="9993" width="0.28515625" style="21" customWidth="1"/>
    <col min="9994" max="9994" width="4.7109375" style="21" customWidth="1"/>
    <col min="9995" max="10238" width="9.140625" style="21" customWidth="1"/>
    <col min="10239" max="10239" width="4.140625" style="21" customWidth="1"/>
    <col min="10240" max="10240" width="43.85546875" style="21" customWidth="1"/>
    <col min="10241" max="10241" width="0.140625" style="21" customWidth="1"/>
    <col min="10242" max="10243" width="14.7109375" style="21" customWidth="1"/>
    <col min="10244" max="10244" width="24.5703125" style="21" customWidth="1"/>
    <col min="10245" max="10245" width="23.85546875" style="21" customWidth="1"/>
    <col min="10246" max="10246" width="0.28515625" style="21" customWidth="1"/>
    <col min="10247" max="10247" width="14.28515625" style="21" customWidth="1"/>
    <col min="10248" max="10248" width="14.5703125" style="21" customWidth="1"/>
    <col min="10249" max="10249" width="0.28515625" style="21" customWidth="1"/>
    <col min="10250" max="10250" width="4.7109375" style="21" customWidth="1"/>
    <col min="10251" max="10494" width="9.140625" style="21" customWidth="1"/>
    <col min="10495" max="10495" width="4.140625" style="21" customWidth="1"/>
    <col min="10496" max="10496" width="43.85546875" style="21" customWidth="1"/>
    <col min="10497" max="10497" width="0.140625" style="21" customWidth="1"/>
    <col min="10498" max="10499" width="14.7109375" style="21" customWidth="1"/>
    <col min="10500" max="10500" width="24.5703125" style="21" customWidth="1"/>
    <col min="10501" max="10501" width="23.85546875" style="21" customWidth="1"/>
    <col min="10502" max="10502" width="0.28515625" style="21" customWidth="1"/>
    <col min="10503" max="10503" width="14.28515625" style="21" customWidth="1"/>
    <col min="10504" max="10504" width="14.5703125" style="21" customWidth="1"/>
    <col min="10505" max="10505" width="0.28515625" style="21" customWidth="1"/>
    <col min="10506" max="10506" width="4.7109375" style="21" customWidth="1"/>
    <col min="10507" max="10750" width="9.140625" style="21" customWidth="1"/>
    <col min="10751" max="10751" width="4.140625" style="21" customWidth="1"/>
    <col min="10752" max="10752" width="43.85546875" style="21" customWidth="1"/>
    <col min="10753" max="10753" width="0.140625" style="21" customWidth="1"/>
    <col min="10754" max="10755" width="14.7109375" style="21" customWidth="1"/>
    <col min="10756" max="10756" width="24.5703125" style="21" customWidth="1"/>
    <col min="10757" max="10757" width="23.85546875" style="21" customWidth="1"/>
    <col min="10758" max="10758" width="0.28515625" style="21" customWidth="1"/>
    <col min="10759" max="10759" width="14.28515625" style="21" customWidth="1"/>
    <col min="10760" max="10760" width="14.5703125" style="21" customWidth="1"/>
    <col min="10761" max="10761" width="0.28515625" style="21" customWidth="1"/>
    <col min="10762" max="10762" width="4.7109375" style="21" customWidth="1"/>
    <col min="10763" max="11006" width="9.140625" style="21" customWidth="1"/>
    <col min="11007" max="11007" width="4.140625" style="21" customWidth="1"/>
    <col min="11008" max="11008" width="43.85546875" style="21" customWidth="1"/>
    <col min="11009" max="11009" width="0.140625" style="21" customWidth="1"/>
    <col min="11010" max="11011" width="14.7109375" style="21" customWidth="1"/>
    <col min="11012" max="11012" width="24.5703125" style="21" customWidth="1"/>
    <col min="11013" max="11013" width="23.85546875" style="21" customWidth="1"/>
    <col min="11014" max="11014" width="0.28515625" style="21" customWidth="1"/>
    <col min="11015" max="11015" width="14.28515625" style="21" customWidth="1"/>
    <col min="11016" max="11016" width="14.5703125" style="21" customWidth="1"/>
    <col min="11017" max="11017" width="0.28515625" style="21" customWidth="1"/>
    <col min="11018" max="11018" width="4.7109375" style="21" customWidth="1"/>
    <col min="11019" max="11262" width="9.140625" style="21" customWidth="1"/>
    <col min="11263" max="11263" width="4.140625" style="21" customWidth="1"/>
    <col min="11264" max="11264" width="43.85546875" style="21" customWidth="1"/>
    <col min="11265" max="11265" width="0.140625" style="21" customWidth="1"/>
    <col min="11266" max="11267" width="14.7109375" style="21" customWidth="1"/>
    <col min="11268" max="11268" width="24.5703125" style="21" customWidth="1"/>
    <col min="11269" max="11269" width="23.85546875" style="21" customWidth="1"/>
    <col min="11270" max="11270" width="0.28515625" style="21" customWidth="1"/>
    <col min="11271" max="11271" width="14.28515625" style="21" customWidth="1"/>
    <col min="11272" max="11272" width="14.5703125" style="21" customWidth="1"/>
    <col min="11273" max="11273" width="0.28515625" style="21" customWidth="1"/>
    <col min="11274" max="11274" width="4.7109375" style="21" customWidth="1"/>
    <col min="11275" max="11518" width="9.140625" style="21" customWidth="1"/>
    <col min="11519" max="11519" width="4.140625" style="21" customWidth="1"/>
    <col min="11520" max="11520" width="43.85546875" style="21" customWidth="1"/>
    <col min="11521" max="11521" width="0.140625" style="21" customWidth="1"/>
    <col min="11522" max="11523" width="14.7109375" style="21" customWidth="1"/>
    <col min="11524" max="11524" width="24.5703125" style="21" customWidth="1"/>
    <col min="11525" max="11525" width="23.85546875" style="21" customWidth="1"/>
    <col min="11526" max="11526" width="0.28515625" style="21" customWidth="1"/>
    <col min="11527" max="11527" width="14.28515625" style="21" customWidth="1"/>
    <col min="11528" max="11528" width="14.5703125" style="21" customWidth="1"/>
    <col min="11529" max="11529" width="0.28515625" style="21" customWidth="1"/>
    <col min="11530" max="11530" width="4.7109375" style="21" customWidth="1"/>
    <col min="11531" max="11774" width="9.140625" style="21" customWidth="1"/>
    <col min="11775" max="11775" width="4.140625" style="21" customWidth="1"/>
    <col min="11776" max="11776" width="43.85546875" style="21" customWidth="1"/>
    <col min="11777" max="11777" width="0.140625" style="21" customWidth="1"/>
    <col min="11778" max="11779" width="14.7109375" style="21" customWidth="1"/>
    <col min="11780" max="11780" width="24.5703125" style="21" customWidth="1"/>
    <col min="11781" max="11781" width="23.85546875" style="21" customWidth="1"/>
    <col min="11782" max="11782" width="0.28515625" style="21" customWidth="1"/>
    <col min="11783" max="11783" width="14.28515625" style="21" customWidth="1"/>
    <col min="11784" max="11784" width="14.5703125" style="21" customWidth="1"/>
    <col min="11785" max="11785" width="0.28515625" style="21" customWidth="1"/>
    <col min="11786" max="11786" width="4.7109375" style="21" customWidth="1"/>
    <col min="11787" max="12030" width="9.140625" style="21" customWidth="1"/>
    <col min="12031" max="12031" width="4.140625" style="21" customWidth="1"/>
    <col min="12032" max="12032" width="43.85546875" style="21" customWidth="1"/>
    <col min="12033" max="12033" width="0.140625" style="21" customWidth="1"/>
    <col min="12034" max="12035" width="14.7109375" style="21" customWidth="1"/>
    <col min="12036" max="12036" width="24.5703125" style="21" customWidth="1"/>
    <col min="12037" max="12037" width="23.85546875" style="21" customWidth="1"/>
    <col min="12038" max="12038" width="0.28515625" style="21" customWidth="1"/>
    <col min="12039" max="12039" width="14.28515625" style="21" customWidth="1"/>
    <col min="12040" max="12040" width="14.5703125" style="21" customWidth="1"/>
    <col min="12041" max="12041" width="0.28515625" style="21" customWidth="1"/>
    <col min="12042" max="12042" width="4.7109375" style="21" customWidth="1"/>
    <col min="12043" max="12286" width="9.140625" style="21" customWidth="1"/>
    <col min="12287" max="12287" width="4.140625" style="21" customWidth="1"/>
    <col min="12288" max="12288" width="43.85546875" style="21" customWidth="1"/>
    <col min="12289" max="12289" width="0.140625" style="21" customWidth="1"/>
    <col min="12290" max="12291" width="14.7109375" style="21" customWidth="1"/>
    <col min="12292" max="12292" width="24.5703125" style="21" customWidth="1"/>
    <col min="12293" max="12293" width="23.85546875" style="21" customWidth="1"/>
    <col min="12294" max="12294" width="0.28515625" style="21" customWidth="1"/>
    <col min="12295" max="12295" width="14.28515625" style="21" customWidth="1"/>
    <col min="12296" max="12296" width="14.5703125" style="21" customWidth="1"/>
    <col min="12297" max="12297" width="0.28515625" style="21" customWidth="1"/>
    <col min="12298" max="12298" width="4.7109375" style="21" customWidth="1"/>
    <col min="12299" max="12542" width="9.140625" style="21" customWidth="1"/>
    <col min="12543" max="12543" width="4.140625" style="21" customWidth="1"/>
    <col min="12544" max="12544" width="43.85546875" style="21" customWidth="1"/>
    <col min="12545" max="12545" width="0.140625" style="21" customWidth="1"/>
    <col min="12546" max="12547" width="14.7109375" style="21" customWidth="1"/>
    <col min="12548" max="12548" width="24.5703125" style="21" customWidth="1"/>
    <col min="12549" max="12549" width="23.85546875" style="21" customWidth="1"/>
    <col min="12550" max="12550" width="0.28515625" style="21" customWidth="1"/>
    <col min="12551" max="12551" width="14.28515625" style="21" customWidth="1"/>
    <col min="12552" max="12552" width="14.5703125" style="21" customWidth="1"/>
    <col min="12553" max="12553" width="0.28515625" style="21" customWidth="1"/>
    <col min="12554" max="12554" width="4.7109375" style="21" customWidth="1"/>
    <col min="12555" max="12798" width="9.140625" style="21" customWidth="1"/>
    <col min="12799" max="12799" width="4.140625" style="21" customWidth="1"/>
    <col min="12800" max="12800" width="43.85546875" style="21" customWidth="1"/>
    <col min="12801" max="12801" width="0.140625" style="21" customWidth="1"/>
    <col min="12802" max="12803" width="14.7109375" style="21" customWidth="1"/>
    <col min="12804" max="12804" width="24.5703125" style="21" customWidth="1"/>
    <col min="12805" max="12805" width="23.85546875" style="21" customWidth="1"/>
    <col min="12806" max="12806" width="0.28515625" style="21" customWidth="1"/>
    <col min="12807" max="12807" width="14.28515625" style="21" customWidth="1"/>
    <col min="12808" max="12808" width="14.5703125" style="21" customWidth="1"/>
    <col min="12809" max="12809" width="0.28515625" style="21" customWidth="1"/>
    <col min="12810" max="12810" width="4.7109375" style="21" customWidth="1"/>
    <col min="12811" max="13054" width="9.140625" style="21" customWidth="1"/>
    <col min="13055" max="13055" width="4.140625" style="21" customWidth="1"/>
    <col min="13056" max="13056" width="43.85546875" style="21" customWidth="1"/>
    <col min="13057" max="13057" width="0.140625" style="21" customWidth="1"/>
    <col min="13058" max="13059" width="14.7109375" style="21" customWidth="1"/>
    <col min="13060" max="13060" width="24.5703125" style="21" customWidth="1"/>
    <col min="13061" max="13061" width="23.85546875" style="21" customWidth="1"/>
    <col min="13062" max="13062" width="0.28515625" style="21" customWidth="1"/>
    <col min="13063" max="13063" width="14.28515625" style="21" customWidth="1"/>
    <col min="13064" max="13064" width="14.5703125" style="21" customWidth="1"/>
    <col min="13065" max="13065" width="0.28515625" style="21" customWidth="1"/>
    <col min="13066" max="13066" width="4.7109375" style="21" customWidth="1"/>
    <col min="13067" max="13310" width="9.140625" style="21" customWidth="1"/>
    <col min="13311" max="13311" width="4.140625" style="21" customWidth="1"/>
    <col min="13312" max="13312" width="43.85546875" style="21" customWidth="1"/>
    <col min="13313" max="13313" width="0.140625" style="21" customWidth="1"/>
    <col min="13314" max="13315" width="14.7109375" style="21" customWidth="1"/>
    <col min="13316" max="13316" width="24.5703125" style="21" customWidth="1"/>
    <col min="13317" max="13317" width="23.85546875" style="21" customWidth="1"/>
    <col min="13318" max="13318" width="0.28515625" style="21" customWidth="1"/>
    <col min="13319" max="13319" width="14.28515625" style="21" customWidth="1"/>
    <col min="13320" max="13320" width="14.5703125" style="21" customWidth="1"/>
    <col min="13321" max="13321" width="0.28515625" style="21" customWidth="1"/>
    <col min="13322" max="13322" width="4.7109375" style="21" customWidth="1"/>
    <col min="13323" max="13566" width="9.140625" style="21" customWidth="1"/>
    <col min="13567" max="13567" width="4.140625" style="21" customWidth="1"/>
    <col min="13568" max="13568" width="43.85546875" style="21" customWidth="1"/>
    <col min="13569" max="13569" width="0.140625" style="21" customWidth="1"/>
    <col min="13570" max="13571" width="14.7109375" style="21" customWidth="1"/>
    <col min="13572" max="13572" width="24.5703125" style="21" customWidth="1"/>
    <col min="13573" max="13573" width="23.85546875" style="21" customWidth="1"/>
    <col min="13574" max="13574" width="0.28515625" style="21" customWidth="1"/>
    <col min="13575" max="13575" width="14.28515625" style="21" customWidth="1"/>
    <col min="13576" max="13576" width="14.5703125" style="21" customWidth="1"/>
    <col min="13577" max="13577" width="0.28515625" style="21" customWidth="1"/>
    <col min="13578" max="13578" width="4.7109375" style="21" customWidth="1"/>
    <col min="13579" max="13822" width="9.140625" style="21" customWidth="1"/>
    <col min="13823" max="13823" width="4.140625" style="21" customWidth="1"/>
    <col min="13824" max="13824" width="43.85546875" style="21" customWidth="1"/>
    <col min="13825" max="13825" width="0.140625" style="21" customWidth="1"/>
    <col min="13826" max="13827" width="14.7109375" style="21" customWidth="1"/>
    <col min="13828" max="13828" width="24.5703125" style="21" customWidth="1"/>
    <col min="13829" max="13829" width="23.85546875" style="21" customWidth="1"/>
    <col min="13830" max="13830" width="0.28515625" style="21" customWidth="1"/>
    <col min="13831" max="13831" width="14.28515625" style="21" customWidth="1"/>
    <col min="13832" max="13832" width="14.5703125" style="21" customWidth="1"/>
    <col min="13833" max="13833" width="0.28515625" style="21" customWidth="1"/>
    <col min="13834" max="13834" width="4.7109375" style="21" customWidth="1"/>
    <col min="13835" max="14078" width="9.140625" style="21" customWidth="1"/>
    <col min="14079" max="14079" width="4.140625" style="21" customWidth="1"/>
    <col min="14080" max="14080" width="43.85546875" style="21" customWidth="1"/>
    <col min="14081" max="14081" width="0.140625" style="21" customWidth="1"/>
    <col min="14082" max="14083" width="14.7109375" style="21" customWidth="1"/>
    <col min="14084" max="14084" width="24.5703125" style="21" customWidth="1"/>
    <col min="14085" max="14085" width="23.85546875" style="21" customWidth="1"/>
    <col min="14086" max="14086" width="0.28515625" style="21" customWidth="1"/>
    <col min="14087" max="14087" width="14.28515625" style="21" customWidth="1"/>
    <col min="14088" max="14088" width="14.5703125" style="21" customWidth="1"/>
    <col min="14089" max="14089" width="0.28515625" style="21" customWidth="1"/>
    <col min="14090" max="14090" width="4.7109375" style="21" customWidth="1"/>
    <col min="14091" max="14334" width="9.140625" style="21" customWidth="1"/>
    <col min="14335" max="14335" width="4.140625" style="21" customWidth="1"/>
    <col min="14336" max="14336" width="43.85546875" style="21" customWidth="1"/>
    <col min="14337" max="14337" width="0.140625" style="21" customWidth="1"/>
    <col min="14338" max="14339" width="14.7109375" style="21" customWidth="1"/>
    <col min="14340" max="14340" width="24.5703125" style="21" customWidth="1"/>
    <col min="14341" max="14341" width="23.85546875" style="21" customWidth="1"/>
    <col min="14342" max="14342" width="0.28515625" style="21" customWidth="1"/>
    <col min="14343" max="14343" width="14.28515625" style="21" customWidth="1"/>
    <col min="14344" max="14344" width="14.5703125" style="21" customWidth="1"/>
    <col min="14345" max="14345" width="0.28515625" style="21" customWidth="1"/>
    <col min="14346" max="14346" width="4.7109375" style="21" customWidth="1"/>
    <col min="14347" max="14590" width="9.140625" style="21" customWidth="1"/>
    <col min="14591" max="14591" width="4.140625" style="21" customWidth="1"/>
    <col min="14592" max="14592" width="43.85546875" style="21" customWidth="1"/>
    <col min="14593" max="14593" width="0.140625" style="21" customWidth="1"/>
    <col min="14594" max="14595" width="14.7109375" style="21" customWidth="1"/>
    <col min="14596" max="14596" width="24.5703125" style="21" customWidth="1"/>
    <col min="14597" max="14597" width="23.85546875" style="21" customWidth="1"/>
    <col min="14598" max="14598" width="0.28515625" style="21" customWidth="1"/>
    <col min="14599" max="14599" width="14.28515625" style="21" customWidth="1"/>
    <col min="14600" max="14600" width="14.5703125" style="21" customWidth="1"/>
    <col min="14601" max="14601" width="0.28515625" style="21" customWidth="1"/>
    <col min="14602" max="14602" width="4.7109375" style="21" customWidth="1"/>
    <col min="14603" max="14846" width="9.140625" style="21" customWidth="1"/>
    <col min="14847" max="14847" width="4.140625" style="21" customWidth="1"/>
    <col min="14848" max="14848" width="43.85546875" style="21" customWidth="1"/>
    <col min="14849" max="14849" width="0.140625" style="21" customWidth="1"/>
    <col min="14850" max="14851" width="14.7109375" style="21" customWidth="1"/>
    <col min="14852" max="14852" width="24.5703125" style="21" customWidth="1"/>
    <col min="14853" max="14853" width="23.85546875" style="21" customWidth="1"/>
    <col min="14854" max="14854" width="0.28515625" style="21" customWidth="1"/>
    <col min="14855" max="14855" width="14.28515625" style="21" customWidth="1"/>
    <col min="14856" max="14856" width="14.5703125" style="21" customWidth="1"/>
    <col min="14857" max="14857" width="0.28515625" style="21" customWidth="1"/>
    <col min="14858" max="14858" width="4.7109375" style="21" customWidth="1"/>
    <col min="14859" max="15102" width="9.140625" style="21" customWidth="1"/>
    <col min="15103" max="15103" width="4.140625" style="21" customWidth="1"/>
    <col min="15104" max="15104" width="43.85546875" style="21" customWidth="1"/>
    <col min="15105" max="15105" width="0.140625" style="21" customWidth="1"/>
    <col min="15106" max="15107" width="14.7109375" style="21" customWidth="1"/>
    <col min="15108" max="15108" width="24.5703125" style="21" customWidth="1"/>
    <col min="15109" max="15109" width="23.85546875" style="21" customWidth="1"/>
    <col min="15110" max="15110" width="0.28515625" style="21" customWidth="1"/>
    <col min="15111" max="15111" width="14.28515625" style="21" customWidth="1"/>
    <col min="15112" max="15112" width="14.5703125" style="21" customWidth="1"/>
    <col min="15113" max="15113" width="0.28515625" style="21" customWidth="1"/>
    <col min="15114" max="15114" width="4.7109375" style="21" customWidth="1"/>
    <col min="15115" max="15358" width="9.140625" style="21" customWidth="1"/>
    <col min="15359" max="15359" width="4.140625" style="21" customWidth="1"/>
    <col min="15360" max="15360" width="43.85546875" style="21" customWidth="1"/>
    <col min="15361" max="15361" width="0.140625" style="21" customWidth="1"/>
    <col min="15362" max="15363" width="14.7109375" style="21" customWidth="1"/>
    <col min="15364" max="15364" width="24.5703125" style="21" customWidth="1"/>
    <col min="15365" max="15365" width="23.85546875" style="21" customWidth="1"/>
    <col min="15366" max="15366" width="0.28515625" style="21" customWidth="1"/>
    <col min="15367" max="15367" width="14.28515625" style="21" customWidth="1"/>
    <col min="15368" max="15368" width="14.5703125" style="21" customWidth="1"/>
    <col min="15369" max="15369" width="0.28515625" style="21" customWidth="1"/>
    <col min="15370" max="15370" width="4.7109375" style="21" customWidth="1"/>
    <col min="15371" max="15614" width="9.140625" style="21" customWidth="1"/>
    <col min="15615" max="15615" width="4.140625" style="21" customWidth="1"/>
    <col min="15616" max="15616" width="43.85546875" style="21" customWidth="1"/>
    <col min="15617" max="15617" width="0.140625" style="21" customWidth="1"/>
    <col min="15618" max="15619" width="14.7109375" style="21" customWidth="1"/>
    <col min="15620" max="15620" width="24.5703125" style="21" customWidth="1"/>
    <col min="15621" max="15621" width="23.85546875" style="21" customWidth="1"/>
    <col min="15622" max="15622" width="0.28515625" style="21" customWidth="1"/>
    <col min="15623" max="15623" width="14.28515625" style="21" customWidth="1"/>
    <col min="15624" max="15624" width="14.5703125" style="21" customWidth="1"/>
    <col min="15625" max="15625" width="0.28515625" style="21" customWidth="1"/>
    <col min="15626" max="15626" width="4.7109375" style="21" customWidth="1"/>
    <col min="15627" max="15870" width="9.140625" style="21" customWidth="1"/>
    <col min="15871" max="15871" width="4.140625" style="21" customWidth="1"/>
    <col min="15872" max="15872" width="43.85546875" style="21" customWidth="1"/>
    <col min="15873" max="15873" width="0.140625" style="21" customWidth="1"/>
    <col min="15874" max="15875" width="14.7109375" style="21" customWidth="1"/>
    <col min="15876" max="15876" width="24.5703125" style="21" customWidth="1"/>
    <col min="15877" max="15877" width="23.85546875" style="21" customWidth="1"/>
    <col min="15878" max="15878" width="0.28515625" style="21" customWidth="1"/>
    <col min="15879" max="15879" width="14.28515625" style="21" customWidth="1"/>
    <col min="15880" max="15880" width="14.5703125" style="21" customWidth="1"/>
    <col min="15881" max="15881" width="0.28515625" style="21" customWidth="1"/>
    <col min="15882" max="15882" width="4.7109375" style="21" customWidth="1"/>
    <col min="15883" max="16126" width="9.140625" style="21" customWidth="1"/>
    <col min="16127" max="16127" width="4.140625" style="21" customWidth="1"/>
    <col min="16128" max="16128" width="43.85546875" style="21" customWidth="1"/>
    <col min="16129" max="16129" width="0.140625" style="21" customWidth="1"/>
    <col min="16130" max="16131" width="14.7109375" style="21" customWidth="1"/>
    <col min="16132" max="16132" width="24.5703125" style="21" customWidth="1"/>
    <col min="16133" max="16133" width="23.85546875" style="21" customWidth="1"/>
    <col min="16134" max="16134" width="0.28515625" style="21" customWidth="1"/>
    <col min="16135" max="16135" width="14.28515625" style="21" customWidth="1"/>
    <col min="16136" max="16136" width="14.5703125" style="21" customWidth="1"/>
    <col min="16137" max="16137" width="0.28515625" style="21" customWidth="1"/>
    <col min="16138" max="16138" width="4.7109375" style="21" customWidth="1"/>
    <col min="16139" max="16384" width="9.140625" style="21" customWidth="1"/>
  </cols>
  <sheetData>
    <row r="1" spans="2:14" s="157" customFormat="1" ht="8.25" x14ac:dyDescent="0.25">
      <c r="K1" s="158"/>
    </row>
    <row r="2" spans="2:14" s="157" customFormat="1" ht="11.25" customHeight="1" x14ac:dyDescent="0.2">
      <c r="B2" s="922" t="s">
        <v>25</v>
      </c>
      <c r="C2" s="922"/>
      <c r="D2" s="922"/>
      <c r="E2" s="922"/>
      <c r="F2" s="922"/>
      <c r="G2" s="922"/>
      <c r="H2" s="922"/>
      <c r="I2" s="922"/>
      <c r="J2" s="922"/>
      <c r="K2" s="158"/>
    </row>
    <row r="3" spans="2:14" s="157" customFormat="1" ht="5.25" customHeight="1" x14ac:dyDescent="0.25">
      <c r="K3" s="158"/>
    </row>
    <row r="4" spans="2:14" s="159" customFormat="1" ht="15" customHeight="1" x14ac:dyDescent="0.25">
      <c r="B4" s="924" t="s">
        <v>358</v>
      </c>
      <c r="C4" s="924"/>
      <c r="D4" s="924"/>
      <c r="E4" s="924"/>
      <c r="F4" s="924"/>
      <c r="G4" s="924"/>
      <c r="H4" s="924"/>
      <c r="I4" s="924"/>
      <c r="J4" s="924"/>
      <c r="K4" s="158"/>
    </row>
    <row r="5" spans="2:14" s="157" customFormat="1" ht="11.25" customHeight="1" x14ac:dyDescent="0.2">
      <c r="B5" s="160"/>
      <c r="C5" s="925"/>
      <c r="D5" s="925"/>
      <c r="E5" s="161"/>
      <c r="F5" s="161" t="s">
        <v>60</v>
      </c>
      <c r="G5" s="926"/>
      <c r="H5" s="926"/>
      <c r="I5" s="161"/>
      <c r="J5" s="161"/>
      <c r="K5" s="158"/>
    </row>
    <row r="6" spans="2:14" s="157" customFormat="1" ht="11.25" customHeight="1" x14ac:dyDescent="0.2">
      <c r="B6" s="160"/>
      <c r="C6" s="162" t="s">
        <v>218</v>
      </c>
      <c r="D6" s="162"/>
      <c r="E6" s="163"/>
      <c r="F6" s="164">
        <v>6.2480229999999999</v>
      </c>
      <c r="G6" s="927"/>
      <c r="H6" s="927"/>
      <c r="I6" s="163"/>
      <c r="J6" s="163"/>
      <c r="K6" s="158"/>
      <c r="L6" s="165" t="s">
        <v>219</v>
      </c>
      <c r="M6" s="166"/>
      <c r="N6" s="167"/>
    </row>
    <row r="7" spans="2:14" s="159" customFormat="1" ht="12.75" customHeight="1" x14ac:dyDescent="0.2">
      <c r="B7" s="888" t="s">
        <v>220</v>
      </c>
      <c r="C7" s="888"/>
      <c r="D7" s="888"/>
      <c r="E7" s="168"/>
      <c r="F7" s="169"/>
      <c r="G7" s="169"/>
      <c r="H7" s="997" t="s">
        <v>221</v>
      </c>
      <c r="I7" s="998"/>
      <c r="J7" s="999"/>
      <c r="K7" s="158"/>
      <c r="L7" s="166"/>
      <c r="M7" s="166"/>
      <c r="N7" s="167"/>
    </row>
    <row r="8" spans="2:14" s="157" customFormat="1" ht="11.25" customHeight="1" x14ac:dyDescent="0.2">
      <c r="B8" s="170" t="s">
        <v>222</v>
      </c>
      <c r="C8" s="911" t="s">
        <v>223</v>
      </c>
      <c r="D8" s="911"/>
      <c r="E8" s="285">
        <v>25441571.670000002</v>
      </c>
      <c r="F8" s="171">
        <f>E8*$F$6</f>
        <v>158959524.95030841</v>
      </c>
      <c r="G8" s="172"/>
      <c r="H8" s="173"/>
      <c r="I8" s="174" t="s">
        <v>2</v>
      </c>
      <c r="J8" s="175" t="s">
        <v>71</v>
      </c>
      <c r="K8" s="158">
        <f>+E8*$F$6-F8</f>
        <v>0</v>
      </c>
      <c r="L8" s="176">
        <f>+E8*$F$6-F8</f>
        <v>0</v>
      </c>
      <c r="M8" s="177"/>
      <c r="N8" s="167"/>
    </row>
    <row r="9" spans="2:14" s="157" customFormat="1" ht="11.25" customHeight="1" x14ac:dyDescent="0.2">
      <c r="B9" s="170" t="s">
        <v>61</v>
      </c>
      <c r="C9" s="911" t="s">
        <v>7</v>
      </c>
      <c r="D9" s="911"/>
      <c r="E9" s="285">
        <v>53402.62</v>
      </c>
      <c r="F9" s="171">
        <f>E9*$F$6</f>
        <v>333660.79802026</v>
      </c>
      <c r="G9" s="178"/>
      <c r="H9" s="179" t="s">
        <v>70</v>
      </c>
      <c r="I9" s="180">
        <f>E8</f>
        <v>25441571.670000002</v>
      </c>
      <c r="J9" s="181">
        <f>F8</f>
        <v>158959524.95030841</v>
      </c>
      <c r="K9" s="158">
        <f t="shared" ref="K9:K74" si="0">+E9*$F$6-F9</f>
        <v>0</v>
      </c>
      <c r="L9" s="176">
        <f>+E9*$F$6-F9</f>
        <v>0</v>
      </c>
      <c r="M9" s="177"/>
      <c r="N9" s="167"/>
    </row>
    <row r="10" spans="2:14" s="157" customFormat="1" ht="11.25" customHeight="1" x14ac:dyDescent="0.2">
      <c r="B10" s="170" t="s">
        <v>62</v>
      </c>
      <c r="C10" s="911" t="s">
        <v>8</v>
      </c>
      <c r="D10" s="911"/>
      <c r="E10" s="285">
        <v>0</v>
      </c>
      <c r="F10" s="171">
        <f>E10*$F$6</f>
        <v>0</v>
      </c>
      <c r="G10" s="178"/>
      <c r="H10" s="182" t="s">
        <v>357</v>
      </c>
      <c r="I10" s="180">
        <f>I9</f>
        <v>25441571.670000002</v>
      </c>
      <c r="J10" s="180">
        <f>+I10*F6</f>
        <v>158959524.95030841</v>
      </c>
      <c r="K10" s="158">
        <f t="shared" si="0"/>
        <v>0</v>
      </c>
      <c r="L10" s="176">
        <f>+E10*$F$6-F10</f>
        <v>0</v>
      </c>
      <c r="M10" s="177"/>
      <c r="N10" s="167"/>
    </row>
    <row r="11" spans="2:14" s="157" customFormat="1" ht="11.25" customHeight="1" x14ac:dyDescent="0.2">
      <c r="B11" s="170" t="s">
        <v>63</v>
      </c>
      <c r="C11" s="911" t="s">
        <v>224</v>
      </c>
      <c r="D11" s="911"/>
      <c r="E11" s="285">
        <v>0</v>
      </c>
      <c r="F11" s="171">
        <f>E11*$F$6</f>
        <v>0</v>
      </c>
      <c r="G11" s="178"/>
      <c r="H11" s="182" t="s">
        <v>225</v>
      </c>
      <c r="I11" s="180">
        <f>E8</f>
        <v>25441571.670000002</v>
      </c>
      <c r="J11" s="181">
        <f>F8</f>
        <v>158959524.95030841</v>
      </c>
      <c r="K11" s="158">
        <f t="shared" si="0"/>
        <v>0</v>
      </c>
      <c r="L11" s="176">
        <f>+E11*$F$6-F11</f>
        <v>0</v>
      </c>
      <c r="M11" s="177"/>
      <c r="N11" s="167"/>
    </row>
    <row r="12" spans="2:14" s="157" customFormat="1" ht="11.25" customHeight="1" x14ac:dyDescent="0.2">
      <c r="B12" s="170"/>
      <c r="C12" s="911" t="s">
        <v>226</v>
      </c>
      <c r="D12" s="911"/>
      <c r="E12" s="286"/>
      <c r="F12" s="171">
        <f>E12*$F$6</f>
        <v>0</v>
      </c>
      <c r="G12" s="178"/>
      <c r="H12" s="183"/>
      <c r="I12" s="184"/>
      <c r="J12" s="184"/>
      <c r="K12" s="158">
        <f t="shared" si="0"/>
        <v>0</v>
      </c>
      <c r="L12" s="176"/>
      <c r="M12" s="177"/>
      <c r="N12" s="167"/>
    </row>
    <row r="13" spans="2:14" s="159" customFormat="1" ht="11.25" customHeight="1" x14ac:dyDescent="0.2">
      <c r="B13" s="185" t="s">
        <v>64</v>
      </c>
      <c r="C13" s="923" t="s">
        <v>227</v>
      </c>
      <c r="D13" s="923"/>
      <c r="E13" s="186">
        <f>E8-E9-E10-E11+E12</f>
        <v>25388169.050000001</v>
      </c>
      <c r="F13" s="186">
        <f>F8-F9-F10-F11+F12</f>
        <v>158625864.15228814</v>
      </c>
      <c r="G13" s="187"/>
      <c r="H13" s="188"/>
      <c r="I13" s="189"/>
      <c r="J13" s="190"/>
      <c r="K13" s="158">
        <f t="shared" si="0"/>
        <v>0</v>
      </c>
      <c r="L13" s="176">
        <f>+E13*$F$6-F13</f>
        <v>0</v>
      </c>
      <c r="M13" s="176"/>
      <c r="N13" s="176"/>
    </row>
    <row r="14" spans="2:14" s="159" customFormat="1" ht="11.25" customHeight="1" x14ac:dyDescent="0.2">
      <c r="B14" s="888" t="s">
        <v>228</v>
      </c>
      <c r="C14" s="888"/>
      <c r="D14" s="888"/>
      <c r="E14" s="168"/>
      <c r="F14" s="191"/>
      <c r="G14" s="192"/>
      <c r="H14" s="931" t="s">
        <v>93</v>
      </c>
      <c r="I14" s="931"/>
      <c r="J14" s="932"/>
      <c r="K14" s="158">
        <f t="shared" si="0"/>
        <v>0</v>
      </c>
    </row>
    <row r="15" spans="2:14" s="157" customFormat="1" ht="11.25" customHeight="1" x14ac:dyDescent="0.2">
      <c r="B15" s="170" t="s">
        <v>209</v>
      </c>
      <c r="C15" s="911" t="s">
        <v>7</v>
      </c>
      <c r="D15" s="911"/>
      <c r="E15" s="193">
        <v>53402.62</v>
      </c>
      <c r="F15" s="171">
        <f>E15*$F$6</f>
        <v>333660.79802026</v>
      </c>
      <c r="G15" s="194"/>
      <c r="H15" s="195" t="s">
        <v>229</v>
      </c>
      <c r="I15" s="196"/>
      <c r="J15" s="197">
        <v>869487.27</v>
      </c>
      <c r="K15" s="158">
        <f t="shared" si="0"/>
        <v>0</v>
      </c>
      <c r="L15" s="176">
        <f t="shared" ref="L15:L35" si="1">+E15*$F$6-F15</f>
        <v>0</v>
      </c>
      <c r="M15" s="176"/>
      <c r="N15" s="176"/>
    </row>
    <row r="16" spans="2:14" s="157" customFormat="1" ht="11.25" customHeight="1" x14ac:dyDescent="0.2">
      <c r="B16" s="170" t="s">
        <v>65</v>
      </c>
      <c r="C16" s="911" t="s">
        <v>8</v>
      </c>
      <c r="D16" s="911"/>
      <c r="E16" s="193">
        <v>0</v>
      </c>
      <c r="F16" s="171">
        <f>E16*$F$6</f>
        <v>0</v>
      </c>
      <c r="G16" s="194"/>
      <c r="H16" s="140" t="s">
        <v>203</v>
      </c>
      <c r="I16" s="141"/>
      <c r="J16" s="44">
        <v>32.909999999999997</v>
      </c>
      <c r="K16" s="158">
        <f t="shared" si="0"/>
        <v>0</v>
      </c>
      <c r="L16" s="176">
        <f t="shared" si="1"/>
        <v>0</v>
      </c>
      <c r="M16" s="176"/>
      <c r="N16" s="176"/>
    </row>
    <row r="17" spans="2:14" s="157" customFormat="1" ht="20.25" customHeight="1" x14ac:dyDescent="0.2">
      <c r="B17" s="170" t="s">
        <v>66</v>
      </c>
      <c r="C17" s="911" t="s">
        <v>9</v>
      </c>
      <c r="D17" s="911"/>
      <c r="E17" s="171">
        <v>0</v>
      </c>
      <c r="F17" s="171">
        <v>0</v>
      </c>
      <c r="G17" s="171"/>
      <c r="H17" s="198" t="s">
        <v>230</v>
      </c>
      <c r="I17" s="199"/>
      <c r="J17" s="180">
        <f>F32</f>
        <v>500908.68992724997</v>
      </c>
      <c r="K17" s="158">
        <f t="shared" si="0"/>
        <v>0</v>
      </c>
      <c r="L17" s="176">
        <f t="shared" si="1"/>
        <v>0</v>
      </c>
      <c r="M17" s="176"/>
      <c r="N17" s="176"/>
    </row>
    <row r="18" spans="2:14" s="157" customFormat="1" ht="11.25" customHeight="1" x14ac:dyDescent="0.2">
      <c r="B18" s="170">
        <v>8.1</v>
      </c>
      <c r="C18" s="1000" t="s">
        <v>69</v>
      </c>
      <c r="D18" s="1000"/>
      <c r="E18" s="200"/>
      <c r="F18" s="171"/>
      <c r="G18" s="194"/>
      <c r="H18" s="198" t="s">
        <v>92</v>
      </c>
      <c r="I18" s="199"/>
      <c r="J18" s="180">
        <f>F72</f>
        <v>499252.77639155998</v>
      </c>
      <c r="K18" s="158">
        <f t="shared" si="0"/>
        <v>0</v>
      </c>
      <c r="L18" s="176">
        <f>+E18*$F$6-F18</f>
        <v>0</v>
      </c>
      <c r="M18" s="177"/>
      <c r="N18" s="167"/>
    </row>
    <row r="19" spans="2:14" s="159" customFormat="1" ht="11.25" customHeight="1" x14ac:dyDescent="0.2">
      <c r="B19" s="185" t="s">
        <v>207</v>
      </c>
      <c r="C19" s="904" t="s">
        <v>10</v>
      </c>
      <c r="D19" s="905"/>
      <c r="E19" s="201">
        <v>53402.62</v>
      </c>
      <c r="F19" s="201">
        <f>F15+F16+F17-F18</f>
        <v>333660.79802026</v>
      </c>
      <c r="G19" s="202"/>
      <c r="H19" s="203" t="s">
        <v>231</v>
      </c>
      <c r="I19" s="204"/>
      <c r="J19" s="180">
        <f>+J15+J17-J18+J16</f>
        <v>871176.09353568999</v>
      </c>
      <c r="K19" s="158">
        <f t="shared" si="0"/>
        <v>0</v>
      </c>
      <c r="L19" s="176">
        <f t="shared" si="1"/>
        <v>0</v>
      </c>
      <c r="M19" s="176">
        <f>SUM(E15:E17)-E19-E18</f>
        <v>0</v>
      </c>
      <c r="N19" s="176">
        <f>SUM(F15:F17)-F19-F18</f>
        <v>0</v>
      </c>
    </row>
    <row r="20" spans="2:14" s="157" customFormat="1" ht="11.25" customHeight="1" x14ac:dyDescent="0.2">
      <c r="B20" s="170" t="s">
        <v>206</v>
      </c>
      <c r="C20" s="911" t="s">
        <v>11</v>
      </c>
      <c r="D20" s="911"/>
      <c r="E20" s="53">
        <v>71041.990000000005</v>
      </c>
      <c r="F20" s="171">
        <f t="shared" ref="F20:F34" si="2">E20*$F$6</f>
        <v>443871.98748577002</v>
      </c>
      <c r="G20" s="194"/>
      <c r="K20" s="158">
        <f t="shared" si="0"/>
        <v>0</v>
      </c>
      <c r="L20" s="176">
        <f t="shared" si="1"/>
        <v>0</v>
      </c>
      <c r="M20" s="176"/>
      <c r="N20" s="176"/>
    </row>
    <row r="21" spans="2:14" s="157" customFormat="1" ht="11.25" customHeight="1" x14ac:dyDescent="0.2">
      <c r="B21" s="170" t="s">
        <v>67</v>
      </c>
      <c r="C21" s="911" t="s">
        <v>12</v>
      </c>
      <c r="D21" s="911"/>
      <c r="E21" s="171">
        <v>0</v>
      </c>
      <c r="F21" s="171">
        <f t="shared" si="2"/>
        <v>0</v>
      </c>
      <c r="G21" s="194"/>
      <c r="K21" s="158">
        <f t="shared" si="0"/>
        <v>0</v>
      </c>
      <c r="L21" s="176">
        <f t="shared" si="1"/>
        <v>0</v>
      </c>
      <c r="M21" s="176"/>
      <c r="N21" s="176"/>
    </row>
    <row r="22" spans="2:14" s="157" customFormat="1" ht="11.25" customHeight="1" x14ac:dyDescent="0.2">
      <c r="B22" s="170" t="s">
        <v>214</v>
      </c>
      <c r="C22" s="911" t="s">
        <v>13</v>
      </c>
      <c r="D22" s="911"/>
      <c r="E22" s="193">
        <v>14562.87</v>
      </c>
      <c r="F22" s="171">
        <f t="shared" si="2"/>
        <v>90989.146706009997</v>
      </c>
      <c r="G22" s="194"/>
      <c r="H22" s="931" t="s">
        <v>95</v>
      </c>
      <c r="I22" s="931"/>
      <c r="J22" s="932"/>
      <c r="K22" s="158">
        <f t="shared" si="0"/>
        <v>0</v>
      </c>
      <c r="L22" s="176">
        <f t="shared" si="1"/>
        <v>0</v>
      </c>
      <c r="M22" s="176"/>
      <c r="N22" s="176"/>
    </row>
    <row r="23" spans="2:14" s="157" customFormat="1" ht="11.25" customHeight="1" x14ac:dyDescent="0.2">
      <c r="B23" s="170" t="s">
        <v>210</v>
      </c>
      <c r="C23" s="911" t="s">
        <v>14</v>
      </c>
      <c r="D23" s="911"/>
      <c r="E23" s="171"/>
      <c r="F23" s="171">
        <f t="shared" si="2"/>
        <v>0</v>
      </c>
      <c r="G23" s="194"/>
      <c r="H23" s="198" t="s">
        <v>232</v>
      </c>
      <c r="I23" s="182"/>
      <c r="J23" s="180">
        <v>220749.47</v>
      </c>
      <c r="K23" s="158">
        <f t="shared" si="0"/>
        <v>0</v>
      </c>
      <c r="L23" s="176">
        <f t="shared" si="1"/>
        <v>0</v>
      </c>
      <c r="M23" s="176"/>
      <c r="N23" s="176"/>
    </row>
    <row r="24" spans="2:14" s="157" customFormat="1" ht="11.25" customHeight="1" x14ac:dyDescent="0.2">
      <c r="B24" s="170" t="s">
        <v>213</v>
      </c>
      <c r="C24" s="911" t="s">
        <v>15</v>
      </c>
      <c r="D24" s="911"/>
      <c r="E24" s="193">
        <v>687.33</v>
      </c>
      <c r="F24" s="171">
        <f t="shared" si="2"/>
        <v>4294.4536485899998</v>
      </c>
      <c r="G24" s="194"/>
      <c r="H24" s="198" t="s">
        <v>233</v>
      </c>
      <c r="I24" s="198"/>
      <c r="J24" s="180">
        <f>F28</f>
        <v>0</v>
      </c>
      <c r="K24" s="158">
        <f t="shared" si="0"/>
        <v>0</v>
      </c>
      <c r="L24" s="176">
        <f t="shared" si="1"/>
        <v>0</v>
      </c>
      <c r="M24" s="176"/>
      <c r="N24" s="176"/>
    </row>
    <row r="25" spans="2:14" s="157" customFormat="1" ht="11.25" customHeight="1" x14ac:dyDescent="0.2">
      <c r="B25" s="170" t="s">
        <v>208</v>
      </c>
      <c r="C25" s="911" t="s">
        <v>16</v>
      </c>
      <c r="D25" s="911"/>
      <c r="E25" s="193">
        <v>10176.24</v>
      </c>
      <c r="F25" s="171">
        <f t="shared" si="2"/>
        <v>63581.381573519997</v>
      </c>
      <c r="G25" s="194"/>
      <c r="H25" s="198" t="s">
        <v>234</v>
      </c>
      <c r="I25" s="198"/>
      <c r="J25" s="180">
        <v>0</v>
      </c>
      <c r="K25" s="158">
        <f t="shared" si="0"/>
        <v>0</v>
      </c>
      <c r="L25" s="176">
        <f t="shared" si="1"/>
        <v>0</v>
      </c>
      <c r="M25" s="176"/>
      <c r="N25" s="176"/>
    </row>
    <row r="26" spans="2:14" s="157" customFormat="1" ht="11.25" customHeight="1" x14ac:dyDescent="0.2">
      <c r="B26" s="170" t="s">
        <v>212</v>
      </c>
      <c r="C26" s="911" t="s">
        <v>235</v>
      </c>
      <c r="D26" s="911"/>
      <c r="E26" s="171">
        <v>0</v>
      </c>
      <c r="F26" s="171">
        <f t="shared" si="2"/>
        <v>0</v>
      </c>
      <c r="G26" s="194"/>
      <c r="H26" s="203" t="s">
        <v>94</v>
      </c>
      <c r="I26" s="203"/>
      <c r="J26" s="180">
        <f>+J23+J24-J25</f>
        <v>220749.47</v>
      </c>
      <c r="K26" s="158">
        <f t="shared" si="0"/>
        <v>0</v>
      </c>
      <c r="L26" s="176">
        <f t="shared" si="1"/>
        <v>0</v>
      </c>
      <c r="M26" s="176"/>
      <c r="N26" s="176"/>
    </row>
    <row r="27" spans="2:14" s="157" customFormat="1" ht="11.25" customHeight="1" x14ac:dyDescent="0.2">
      <c r="B27" s="170" t="s">
        <v>236</v>
      </c>
      <c r="C27" s="911" t="s">
        <v>237</v>
      </c>
      <c r="D27" s="911"/>
      <c r="E27" s="171"/>
      <c r="F27" s="171">
        <f t="shared" si="2"/>
        <v>0</v>
      </c>
      <c r="G27" s="194"/>
      <c r="H27" s="194"/>
      <c r="I27" s="205"/>
      <c r="J27" s="170"/>
      <c r="K27" s="158">
        <f t="shared" si="0"/>
        <v>0</v>
      </c>
      <c r="L27" s="176">
        <f t="shared" si="1"/>
        <v>0</v>
      </c>
      <c r="M27" s="176"/>
      <c r="N27" s="176"/>
    </row>
    <row r="28" spans="2:14" s="157" customFormat="1" ht="11.25" customHeight="1" x14ac:dyDescent="0.2">
      <c r="B28" s="170" t="s">
        <v>211</v>
      </c>
      <c r="C28" s="911" t="s">
        <v>18</v>
      </c>
      <c r="D28" s="911"/>
      <c r="E28" s="171"/>
      <c r="F28" s="171">
        <f t="shared" si="2"/>
        <v>0</v>
      </c>
      <c r="G28" s="194"/>
      <c r="H28" s="194"/>
      <c r="I28" s="205"/>
      <c r="J28" s="170"/>
      <c r="K28" s="158">
        <f t="shared" si="0"/>
        <v>0</v>
      </c>
      <c r="L28" s="176">
        <f>+E28*$F$6-F28</f>
        <v>0</v>
      </c>
      <c r="M28" s="176"/>
      <c r="N28" s="176"/>
    </row>
    <row r="29" spans="2:14" s="157" customFormat="1" ht="11.25" customHeight="1" x14ac:dyDescent="0.2">
      <c r="B29" s="170" t="s">
        <v>215</v>
      </c>
      <c r="C29" s="911" t="s">
        <v>19</v>
      </c>
      <c r="D29" s="911"/>
      <c r="E29" s="171">
        <v>1808.79</v>
      </c>
      <c r="F29" s="171">
        <f t="shared" si="2"/>
        <v>11301.36152217</v>
      </c>
      <c r="G29" s="194"/>
      <c r="H29" s="194"/>
      <c r="I29" s="205"/>
      <c r="J29" s="170"/>
      <c r="K29" s="158">
        <f t="shared" si="0"/>
        <v>0</v>
      </c>
      <c r="L29" s="176">
        <f t="shared" si="1"/>
        <v>0</v>
      </c>
      <c r="M29" s="176"/>
      <c r="N29" s="176"/>
    </row>
    <row r="30" spans="2:14" s="157" customFormat="1" ht="11.25" customHeight="1" x14ac:dyDescent="0.2">
      <c r="B30" s="170" t="s">
        <v>238</v>
      </c>
      <c r="C30" s="911" t="s">
        <v>20</v>
      </c>
      <c r="D30" s="911"/>
      <c r="E30" s="171"/>
      <c r="F30" s="171">
        <f t="shared" si="2"/>
        <v>0</v>
      </c>
      <c r="G30" s="194"/>
      <c r="H30" s="194"/>
      <c r="I30" s="205"/>
      <c r="J30" s="170"/>
      <c r="K30" s="158">
        <f t="shared" si="0"/>
        <v>0</v>
      </c>
      <c r="L30" s="176">
        <f t="shared" si="1"/>
        <v>0</v>
      </c>
      <c r="M30" s="176"/>
      <c r="N30" s="176"/>
    </row>
    <row r="31" spans="2:14" s="157" customFormat="1" ht="12.75" customHeight="1" x14ac:dyDescent="0.2">
      <c r="B31" s="170" t="s">
        <v>205</v>
      </c>
      <c r="C31" s="911" t="s">
        <v>21</v>
      </c>
      <c r="D31" s="911"/>
      <c r="E31" s="171">
        <v>0</v>
      </c>
      <c r="F31" s="171">
        <f t="shared" si="2"/>
        <v>0</v>
      </c>
      <c r="G31" s="194"/>
      <c r="H31" s="194"/>
      <c r="I31" s="205"/>
      <c r="J31" s="170"/>
      <c r="K31" s="158">
        <f t="shared" si="0"/>
        <v>0</v>
      </c>
      <c r="L31" s="176">
        <f t="shared" si="1"/>
        <v>0</v>
      </c>
      <c r="M31" s="176"/>
      <c r="N31" s="176"/>
    </row>
    <row r="32" spans="2:14" s="157" customFormat="1" ht="11.25" customHeight="1" x14ac:dyDescent="0.2">
      <c r="B32" s="170" t="s">
        <v>239</v>
      </c>
      <c r="C32" s="911" t="s">
        <v>22</v>
      </c>
      <c r="D32" s="911"/>
      <c r="E32" s="193">
        <v>80170.75</v>
      </c>
      <c r="F32" s="171">
        <f t="shared" si="2"/>
        <v>500908.68992724997</v>
      </c>
      <c r="G32" s="910"/>
      <c r="H32" s="910"/>
      <c r="I32" s="205"/>
      <c r="J32" s="170"/>
      <c r="K32" s="158">
        <f t="shared" si="0"/>
        <v>0</v>
      </c>
      <c r="L32" s="176">
        <f t="shared" si="1"/>
        <v>0</v>
      </c>
      <c r="M32" s="176"/>
      <c r="N32" s="176"/>
    </row>
    <row r="33" spans="2:14" s="157" customFormat="1" ht="11.25" customHeight="1" x14ac:dyDescent="0.2">
      <c r="B33" s="170"/>
      <c r="C33" s="206" t="s">
        <v>90</v>
      </c>
      <c r="D33" s="207"/>
      <c r="E33" s="208">
        <v>0.08</v>
      </c>
      <c r="F33" s="208">
        <v>1.06</v>
      </c>
      <c r="G33" s="205"/>
      <c r="H33" s="209"/>
      <c r="I33" s="210"/>
      <c r="J33" s="207"/>
      <c r="K33" s="158">
        <f t="shared" si="0"/>
        <v>-0.56015816000000007</v>
      </c>
      <c r="L33" s="176">
        <f t="shared" si="1"/>
        <v>-0.56015816000000007</v>
      </c>
      <c r="M33" s="176"/>
      <c r="N33" s="176"/>
    </row>
    <row r="34" spans="2:14" s="157" customFormat="1" ht="11.25" customHeight="1" x14ac:dyDescent="0.2">
      <c r="B34" s="170"/>
      <c r="C34" s="206" t="s">
        <v>240</v>
      </c>
      <c r="D34" s="207"/>
      <c r="E34" s="193">
        <v>79905.72</v>
      </c>
      <c r="F34" s="208">
        <f t="shared" si="2"/>
        <v>499252.77639155998</v>
      </c>
      <c r="G34" s="205"/>
      <c r="H34" s="209"/>
      <c r="I34" s="210"/>
      <c r="J34" s="207"/>
      <c r="K34" s="158">
        <f t="shared" si="0"/>
        <v>0</v>
      </c>
      <c r="L34" s="176">
        <f t="shared" si="1"/>
        <v>0</v>
      </c>
      <c r="M34" s="176"/>
      <c r="N34" s="176"/>
    </row>
    <row r="35" spans="2:14" s="159" customFormat="1" ht="11.25" customHeight="1" x14ac:dyDescent="0.2">
      <c r="B35" s="185" t="s">
        <v>241</v>
      </c>
      <c r="C35" s="904" t="s">
        <v>228</v>
      </c>
      <c r="D35" s="905"/>
      <c r="E35" s="201">
        <f>SUM(E19:E32)-E33-E34</f>
        <v>151944.79</v>
      </c>
      <c r="F35" s="201">
        <f>SUM(F19:F32)-F33-F34</f>
        <v>949353.98249201011</v>
      </c>
      <c r="G35" s="202"/>
      <c r="H35" s="187"/>
      <c r="I35" s="211"/>
      <c r="J35" s="212"/>
      <c r="K35" s="158">
        <f t="shared" si="0"/>
        <v>0.56015815993305296</v>
      </c>
      <c r="L35" s="176">
        <f t="shared" si="1"/>
        <v>0.56015815993305296</v>
      </c>
      <c r="M35" s="176">
        <f>SUM(E19:E32)-E35-E33-E34</f>
        <v>0</v>
      </c>
      <c r="N35" s="176">
        <f>SUM(F19:F32)-F35-F33-F34</f>
        <v>0</v>
      </c>
    </row>
    <row r="36" spans="2:14" s="159" customFormat="1" ht="11.25" customHeight="1" x14ac:dyDescent="0.2">
      <c r="B36" s="888" t="s">
        <v>242</v>
      </c>
      <c r="C36" s="888"/>
      <c r="D36" s="888"/>
      <c r="E36" s="168"/>
      <c r="F36" s="1001"/>
      <c r="G36" s="1002"/>
      <c r="H36" s="1002"/>
      <c r="I36" s="1002"/>
      <c r="J36" s="1002"/>
      <c r="K36" s="158">
        <f t="shared" si="0"/>
        <v>0</v>
      </c>
    </row>
    <row r="37" spans="2:14" s="159" customFormat="1" ht="11.25" customHeight="1" x14ac:dyDescent="0.2">
      <c r="B37" s="213" t="s">
        <v>243</v>
      </c>
      <c r="C37" s="890" t="s">
        <v>15</v>
      </c>
      <c r="D37" s="890"/>
      <c r="E37" s="193">
        <f>E24</f>
        <v>687.33</v>
      </c>
      <c r="F37" s="171">
        <f>E37*$F$6</f>
        <v>4294.4536485899998</v>
      </c>
      <c r="G37" s="194"/>
      <c r="H37" s="194"/>
      <c r="I37" s="205"/>
      <c r="J37" s="213"/>
      <c r="K37" s="158">
        <f t="shared" si="0"/>
        <v>0</v>
      </c>
      <c r="L37" s="176">
        <f t="shared" ref="L37:L73" si="3">+E37*$F$6-F37</f>
        <v>0</v>
      </c>
    </row>
    <row r="38" spans="2:14" s="159" customFormat="1" ht="11.25" customHeight="1" x14ac:dyDescent="0.2">
      <c r="B38" s="213" t="s">
        <v>244</v>
      </c>
      <c r="C38" s="890" t="s">
        <v>245</v>
      </c>
      <c r="D38" s="890"/>
      <c r="E38" s="193">
        <v>11399.51</v>
      </c>
      <c r="F38" s="214">
        <f>E38*$F$6</f>
        <v>71224.400668729999</v>
      </c>
      <c r="G38" s="194"/>
      <c r="H38" s="194"/>
      <c r="I38" s="205"/>
      <c r="J38" s="213"/>
      <c r="K38" s="158">
        <f t="shared" si="0"/>
        <v>0</v>
      </c>
      <c r="L38" s="176">
        <f t="shared" si="3"/>
        <v>0</v>
      </c>
    </row>
    <row r="39" spans="2:14" s="159" customFormat="1" ht="11.25" customHeight="1" x14ac:dyDescent="0.2">
      <c r="B39" s="213" t="s">
        <v>246</v>
      </c>
      <c r="C39" s="890" t="s">
        <v>247</v>
      </c>
      <c r="D39" s="890"/>
      <c r="E39" s="171">
        <v>0</v>
      </c>
      <c r="F39" s="214">
        <f>E39*$F$6</f>
        <v>0</v>
      </c>
      <c r="G39" s="194"/>
      <c r="H39" s="194"/>
      <c r="I39" s="205"/>
      <c r="J39" s="213"/>
      <c r="K39" s="158">
        <f>+E39*$F$6-F39</f>
        <v>0</v>
      </c>
      <c r="L39" s="176">
        <f t="shared" si="3"/>
        <v>0</v>
      </c>
    </row>
    <row r="40" spans="2:14" s="159" customFormat="1" ht="11.25" customHeight="1" x14ac:dyDescent="0.2">
      <c r="B40" s="213" t="s">
        <v>248</v>
      </c>
      <c r="C40" s="890" t="s">
        <v>23</v>
      </c>
      <c r="D40" s="890"/>
      <c r="E40" s="171">
        <f>E38</f>
        <v>11399.51</v>
      </c>
      <c r="F40" s="214">
        <f>E40*$F$6</f>
        <v>71224.400668729999</v>
      </c>
      <c r="G40" s="194"/>
      <c r="H40" s="194"/>
      <c r="I40" s="205"/>
      <c r="J40" s="213"/>
      <c r="K40" s="158">
        <f>+E40*$F$6-F40</f>
        <v>0</v>
      </c>
      <c r="L40" s="176">
        <f>+E40*$F$6-F40</f>
        <v>0</v>
      </c>
    </row>
    <row r="41" spans="2:14" s="159" customFormat="1" ht="11.25" customHeight="1" x14ac:dyDescent="0.2">
      <c r="B41" s="213" t="s">
        <v>249</v>
      </c>
      <c r="C41" s="890" t="s">
        <v>250</v>
      </c>
      <c r="D41" s="890"/>
      <c r="E41" s="215">
        <f>E37-E38</f>
        <v>-10712.18</v>
      </c>
      <c r="F41" s="215">
        <f>F37-F38</f>
        <v>-66929.947020139996</v>
      </c>
      <c r="G41" s="194"/>
      <c r="H41" s="194"/>
      <c r="I41" s="205"/>
      <c r="J41" s="213"/>
      <c r="K41" s="158">
        <f t="shared" si="0"/>
        <v>0</v>
      </c>
      <c r="L41" s="176">
        <f t="shared" si="3"/>
        <v>0</v>
      </c>
    </row>
    <row r="42" spans="2:14" s="159" customFormat="1" ht="11.25" customHeight="1" x14ac:dyDescent="0.2">
      <c r="B42" s="1005" t="s">
        <v>251</v>
      </c>
      <c r="C42" s="1005"/>
      <c r="D42" s="1005"/>
      <c r="E42" s="216"/>
      <c r="F42" s="1003"/>
      <c r="G42" s="1004"/>
      <c r="H42" s="1004"/>
      <c r="I42" s="1004"/>
      <c r="J42" s="1004"/>
      <c r="K42" s="158">
        <f t="shared" si="0"/>
        <v>0</v>
      </c>
    </row>
    <row r="43" spans="2:14" s="157" customFormat="1" ht="11.25" customHeight="1" x14ac:dyDescent="0.2">
      <c r="B43" s="170" t="s">
        <v>252</v>
      </c>
      <c r="C43" s="911" t="s">
        <v>23</v>
      </c>
      <c r="D43" s="911"/>
      <c r="E43" s="171">
        <f>E38</f>
        <v>11399.51</v>
      </c>
      <c r="F43" s="171">
        <f>F38</f>
        <v>71224.400668729999</v>
      </c>
      <c r="G43" s="194"/>
      <c r="H43" s="194"/>
      <c r="I43" s="205"/>
      <c r="J43" s="170"/>
      <c r="K43" s="158">
        <f t="shared" si="0"/>
        <v>0</v>
      </c>
      <c r="L43" s="176">
        <f t="shared" si="3"/>
        <v>0</v>
      </c>
    </row>
    <row r="44" spans="2:14" s="157" customFormat="1" ht="11.25" customHeight="1" x14ac:dyDescent="0.2">
      <c r="B44" s="170" t="s">
        <v>253</v>
      </c>
      <c r="C44" s="911" t="s">
        <v>254</v>
      </c>
      <c r="D44" s="911"/>
      <c r="E44" s="214">
        <v>17113.900000000001</v>
      </c>
      <c r="F44" s="171">
        <f>E44*$F$6</f>
        <v>106928.04081970001</v>
      </c>
      <c r="G44" s="194"/>
      <c r="H44" s="194"/>
      <c r="I44" s="205"/>
      <c r="J44" s="170"/>
      <c r="K44" s="158">
        <f t="shared" si="0"/>
        <v>0</v>
      </c>
      <c r="L44" s="176">
        <f t="shared" si="3"/>
        <v>0</v>
      </c>
    </row>
    <row r="45" spans="2:14" s="157" customFormat="1" ht="11.25" customHeight="1" x14ac:dyDescent="0.2">
      <c r="B45" s="170" t="s">
        <v>255</v>
      </c>
      <c r="C45" s="911" t="s">
        <v>256</v>
      </c>
      <c r="D45" s="911"/>
      <c r="E45" s="214">
        <v>0</v>
      </c>
      <c r="F45" s="171">
        <f>E45*$F$6</f>
        <v>0</v>
      </c>
      <c r="G45" s="194"/>
      <c r="H45" s="194"/>
      <c r="I45" s="205"/>
      <c r="J45" s="170"/>
      <c r="K45" s="158">
        <f t="shared" si="0"/>
        <v>0</v>
      </c>
      <c r="L45" s="176">
        <f t="shared" si="3"/>
        <v>0</v>
      </c>
    </row>
    <row r="46" spans="2:14" s="157" customFormat="1" ht="11.25" customHeight="1" x14ac:dyDescent="0.2">
      <c r="B46" s="170" t="s">
        <v>257</v>
      </c>
      <c r="C46" s="911" t="s">
        <v>258</v>
      </c>
      <c r="D46" s="911"/>
      <c r="E46" s="171">
        <v>0</v>
      </c>
      <c r="F46" s="171">
        <v>0</v>
      </c>
      <c r="G46" s="194"/>
      <c r="H46" s="194"/>
      <c r="I46" s="205"/>
      <c r="J46" s="170"/>
      <c r="K46" s="158">
        <f t="shared" si="0"/>
        <v>0</v>
      </c>
      <c r="L46" s="176">
        <f t="shared" si="3"/>
        <v>0</v>
      </c>
    </row>
    <row r="47" spans="2:14" s="157" customFormat="1" ht="13.5" customHeight="1" x14ac:dyDescent="0.2">
      <c r="B47" s="170" t="s">
        <v>259</v>
      </c>
      <c r="C47" s="911" t="s">
        <v>260</v>
      </c>
      <c r="D47" s="911"/>
      <c r="E47" s="214">
        <v>16892.93</v>
      </c>
      <c r="F47" s="171">
        <f>E47*$F$6</f>
        <v>105547.41517738999</v>
      </c>
      <c r="G47" s="194"/>
      <c r="H47" s="194"/>
      <c r="I47" s="205"/>
      <c r="J47" s="170"/>
      <c r="K47" s="158">
        <f t="shared" si="0"/>
        <v>0</v>
      </c>
      <c r="L47" s="176">
        <f t="shared" si="3"/>
        <v>0</v>
      </c>
    </row>
    <row r="48" spans="2:14" s="157" customFormat="1" ht="11.25" customHeight="1" x14ac:dyDescent="0.2">
      <c r="B48" s="170" t="s">
        <v>261</v>
      </c>
      <c r="C48" s="911" t="s">
        <v>19</v>
      </c>
      <c r="D48" s="911"/>
      <c r="E48" s="200"/>
      <c r="F48" s="171">
        <f>E48*$F$6</f>
        <v>0</v>
      </c>
      <c r="G48" s="194"/>
      <c r="H48" s="194"/>
      <c r="I48" s="205"/>
      <c r="J48" s="170"/>
      <c r="K48" s="158">
        <f t="shared" si="0"/>
        <v>0</v>
      </c>
      <c r="L48" s="176">
        <f t="shared" si="3"/>
        <v>0</v>
      </c>
    </row>
    <row r="49" spans="2:14" s="157" customFormat="1" ht="11.25" customHeight="1" x14ac:dyDescent="0.2">
      <c r="B49" s="170" t="s">
        <v>262</v>
      </c>
      <c r="C49" s="911" t="s">
        <v>263</v>
      </c>
      <c r="D49" s="911"/>
      <c r="E49" s="171">
        <v>0</v>
      </c>
      <c r="F49" s="171">
        <f>E49*$F$6</f>
        <v>0</v>
      </c>
      <c r="G49" s="194"/>
      <c r="H49" s="194"/>
      <c r="I49" s="205"/>
      <c r="J49" s="170"/>
      <c r="K49" s="158">
        <f t="shared" si="0"/>
        <v>0</v>
      </c>
      <c r="L49" s="176">
        <f t="shared" si="3"/>
        <v>0</v>
      </c>
    </row>
    <row r="50" spans="2:14" s="157" customFormat="1" ht="11.25" customHeight="1" x14ac:dyDescent="0.2">
      <c r="B50" s="170" t="s">
        <v>264</v>
      </c>
      <c r="C50" s="911" t="s">
        <v>265</v>
      </c>
      <c r="D50" s="911"/>
      <c r="E50" s="171">
        <v>0</v>
      </c>
      <c r="F50" s="171">
        <f>E50*$F$6</f>
        <v>0</v>
      </c>
      <c r="G50" s="194"/>
      <c r="H50" s="194"/>
      <c r="I50" s="205"/>
      <c r="J50" s="170"/>
      <c r="K50" s="158">
        <f t="shared" si="0"/>
        <v>0</v>
      </c>
      <c r="L50" s="176">
        <f t="shared" si="3"/>
        <v>0</v>
      </c>
    </row>
    <row r="51" spans="2:14" s="157" customFormat="1" ht="11.25" customHeight="1" x14ac:dyDescent="0.2">
      <c r="B51" s="170">
        <v>36</v>
      </c>
      <c r="C51" s="911" t="s">
        <v>87</v>
      </c>
      <c r="D51" s="911"/>
      <c r="E51" s="171"/>
      <c r="F51" s="171">
        <f>E51*$F$6</f>
        <v>0</v>
      </c>
      <c r="G51" s="205"/>
      <c r="H51" s="205"/>
      <c r="I51" s="205"/>
      <c r="J51" s="170"/>
      <c r="K51" s="158">
        <f t="shared" si="0"/>
        <v>0</v>
      </c>
      <c r="L51" s="176">
        <f t="shared" si="3"/>
        <v>0</v>
      </c>
    </row>
    <row r="52" spans="2:14" s="157" customFormat="1" ht="11.25" customHeight="1" x14ac:dyDescent="0.2">
      <c r="B52" s="170">
        <v>36.1</v>
      </c>
      <c r="C52" s="911" t="s">
        <v>266</v>
      </c>
      <c r="D52" s="911"/>
      <c r="E52" s="171">
        <f>+F52/F6</f>
        <v>0</v>
      </c>
      <c r="F52" s="171">
        <v>0</v>
      </c>
      <c r="G52" s="205"/>
      <c r="H52" s="171"/>
      <c r="I52" s="205"/>
      <c r="J52" s="170"/>
      <c r="K52" s="158">
        <f t="shared" si="0"/>
        <v>0</v>
      </c>
      <c r="L52" s="176"/>
    </row>
    <row r="53" spans="2:14" s="157" customFormat="1" ht="11.25" customHeight="1" x14ac:dyDescent="0.2">
      <c r="B53" s="170" t="s">
        <v>267</v>
      </c>
      <c r="C53" s="911" t="s">
        <v>268</v>
      </c>
      <c r="D53" s="911"/>
      <c r="E53" s="171">
        <v>11420.35</v>
      </c>
      <c r="F53" s="171">
        <f>E53*$F$6</f>
        <v>71354.609468049995</v>
      </c>
      <c r="G53" s="194"/>
      <c r="H53" s="194"/>
      <c r="I53" s="205"/>
      <c r="J53" s="170"/>
      <c r="K53" s="158">
        <f t="shared" si="0"/>
        <v>0</v>
      </c>
      <c r="L53" s="176">
        <f>+E53*$F$6-F53</f>
        <v>0</v>
      </c>
    </row>
    <row r="54" spans="2:14" s="159" customFormat="1" ht="11.25" customHeight="1" x14ac:dyDescent="0.2">
      <c r="B54" s="185" t="s">
        <v>269</v>
      </c>
      <c r="C54" s="904" t="s">
        <v>270</v>
      </c>
      <c r="D54" s="905"/>
      <c r="E54" s="201">
        <f>SUM(E43:E53)</f>
        <v>56826.69</v>
      </c>
      <c r="F54" s="201">
        <f>SUM(F43:F53)</f>
        <v>355054.46613387001</v>
      </c>
      <c r="G54" s="202"/>
      <c r="H54" s="187"/>
      <c r="I54" s="211"/>
      <c r="J54" s="212"/>
      <c r="K54" s="158">
        <f t="shared" si="0"/>
        <v>0</v>
      </c>
      <c r="L54" s="176">
        <f t="shared" si="3"/>
        <v>0</v>
      </c>
      <c r="M54" s="176">
        <f>SUM(E43:E53)-E54</f>
        <v>0</v>
      </c>
      <c r="N54" s="176">
        <f>SUM(F43:F53)-F54</f>
        <v>0</v>
      </c>
    </row>
    <row r="55" spans="2:14" s="159" customFormat="1" ht="11.25" customHeight="1" x14ac:dyDescent="0.2">
      <c r="B55" s="888" t="s">
        <v>271</v>
      </c>
      <c r="C55" s="888"/>
      <c r="D55" s="888"/>
      <c r="E55" s="168"/>
      <c r="F55" s="1006"/>
      <c r="G55" s="1007"/>
      <c r="H55" s="1007"/>
      <c r="I55" s="1007"/>
      <c r="J55" s="1007"/>
      <c r="K55" s="158">
        <f t="shared" si="0"/>
        <v>0</v>
      </c>
    </row>
    <row r="56" spans="2:14" s="157" customFormat="1" ht="11.25" customHeight="1" x14ac:dyDescent="0.2">
      <c r="B56" s="170" t="s">
        <v>272</v>
      </c>
      <c r="C56" s="911" t="s">
        <v>273</v>
      </c>
      <c r="D56" s="911"/>
      <c r="E56" s="171">
        <f>E25</f>
        <v>10176.24</v>
      </c>
      <c r="F56" s="171">
        <f>F25</f>
        <v>63581.381573519997</v>
      </c>
      <c r="G56" s="194"/>
      <c r="H56" s="194"/>
      <c r="I56" s="205"/>
      <c r="J56" s="170"/>
      <c r="K56" s="158">
        <f t="shared" si="0"/>
        <v>0</v>
      </c>
      <c r="L56" s="176">
        <f t="shared" si="3"/>
        <v>0</v>
      </c>
    </row>
    <row r="57" spans="2:14" s="157" customFormat="1" ht="11.25" customHeight="1" x14ac:dyDescent="0.2">
      <c r="B57" s="170" t="s">
        <v>274</v>
      </c>
      <c r="C57" s="911" t="s">
        <v>254</v>
      </c>
      <c r="D57" s="911"/>
      <c r="E57" s="171">
        <f>E44</f>
        <v>17113.900000000001</v>
      </c>
      <c r="F57" s="171">
        <f>F44</f>
        <v>106928.04081970001</v>
      </c>
      <c r="G57" s="194"/>
      <c r="H57" s="194"/>
      <c r="I57" s="205"/>
      <c r="J57" s="170"/>
      <c r="K57" s="158">
        <f t="shared" si="0"/>
        <v>0</v>
      </c>
      <c r="L57" s="176">
        <f t="shared" si="3"/>
        <v>0</v>
      </c>
    </row>
    <row r="58" spans="2:14" s="159" customFormat="1" ht="11.25" customHeight="1" x14ac:dyDescent="0.2">
      <c r="B58" s="185" t="s">
        <v>275</v>
      </c>
      <c r="C58" s="904" t="s">
        <v>276</v>
      </c>
      <c r="D58" s="905"/>
      <c r="E58" s="217">
        <f>E56-E57</f>
        <v>-6937.6600000000017</v>
      </c>
      <c r="F58" s="217">
        <f>F56-F57</f>
        <v>-43346.65924618001</v>
      </c>
      <c r="G58" s="185"/>
      <c r="H58" s="1008"/>
      <c r="I58" s="1009"/>
      <c r="J58" s="1009"/>
      <c r="K58" s="158">
        <f t="shared" si="0"/>
        <v>0</v>
      </c>
      <c r="L58" s="176">
        <f t="shared" si="3"/>
        <v>0</v>
      </c>
    </row>
    <row r="59" spans="2:14" s="159" customFormat="1" ht="11.25" customHeight="1" x14ac:dyDescent="0.2">
      <c r="B59" s="213" t="s">
        <v>277</v>
      </c>
      <c r="C59" s="890" t="s">
        <v>278</v>
      </c>
      <c r="D59" s="890"/>
      <c r="E59" s="215"/>
      <c r="F59" s="215"/>
      <c r="G59" s="194"/>
      <c r="H59" s="194"/>
      <c r="I59" s="205"/>
      <c r="J59" s="213"/>
      <c r="K59" s="158">
        <f t="shared" si="0"/>
        <v>0</v>
      </c>
      <c r="L59" s="176">
        <f t="shared" si="3"/>
        <v>0</v>
      </c>
    </row>
    <row r="60" spans="2:14" s="159" customFormat="1" ht="11.25" customHeight="1" x14ac:dyDescent="0.2">
      <c r="B60" s="213" t="s">
        <v>279</v>
      </c>
      <c r="C60" s="890" t="s">
        <v>280</v>
      </c>
      <c r="D60" s="890"/>
      <c r="E60" s="171">
        <f>E45</f>
        <v>0</v>
      </c>
      <c r="F60" s="171">
        <f>F45</f>
        <v>0</v>
      </c>
      <c r="G60" s="194"/>
      <c r="H60" s="194"/>
      <c r="I60" s="205"/>
      <c r="J60" s="213"/>
      <c r="K60" s="158">
        <f t="shared" si="0"/>
        <v>0</v>
      </c>
      <c r="L60" s="176">
        <f t="shared" si="3"/>
        <v>0</v>
      </c>
    </row>
    <row r="61" spans="2:14" s="159" customFormat="1" ht="11.25" customHeight="1" x14ac:dyDescent="0.2">
      <c r="B61" s="185" t="s">
        <v>281</v>
      </c>
      <c r="C61" s="904" t="s">
        <v>282</v>
      </c>
      <c r="D61" s="905"/>
      <c r="E61" s="217">
        <f>E59-E60</f>
        <v>0</v>
      </c>
      <c r="F61" s="217">
        <f>F59-F60</f>
        <v>0</v>
      </c>
      <c r="G61" s="185"/>
      <c r="H61" s="1008"/>
      <c r="I61" s="1009"/>
      <c r="J61" s="1009"/>
      <c r="K61" s="158">
        <f t="shared" si="0"/>
        <v>0</v>
      </c>
      <c r="L61" s="176">
        <f t="shared" si="3"/>
        <v>0</v>
      </c>
    </row>
    <row r="62" spans="2:14" s="159" customFormat="1" ht="11.25" customHeight="1" x14ac:dyDescent="0.2">
      <c r="B62" s="213" t="s">
        <v>68</v>
      </c>
      <c r="C62" s="890" t="s">
        <v>283</v>
      </c>
      <c r="D62" s="890"/>
      <c r="E62" s="218">
        <v>0</v>
      </c>
      <c r="F62" s="218">
        <v>0</v>
      </c>
      <c r="G62" s="213"/>
      <c r="H62" s="219"/>
      <c r="I62" s="219"/>
      <c r="J62" s="213"/>
      <c r="K62" s="158">
        <f t="shared" si="0"/>
        <v>0</v>
      </c>
      <c r="L62" s="176">
        <f t="shared" si="3"/>
        <v>0</v>
      </c>
    </row>
    <row r="63" spans="2:14" s="159" customFormat="1" ht="11.25" customHeight="1" x14ac:dyDescent="0.2">
      <c r="B63" s="213" t="s">
        <v>284</v>
      </c>
      <c r="C63" s="890" t="s">
        <v>285</v>
      </c>
      <c r="D63" s="890"/>
      <c r="E63" s="218">
        <v>0</v>
      </c>
      <c r="F63" s="218">
        <v>0</v>
      </c>
      <c r="G63" s="213"/>
      <c r="H63" s="219"/>
      <c r="I63" s="219"/>
      <c r="J63" s="213"/>
      <c r="K63" s="158">
        <f t="shared" si="0"/>
        <v>0</v>
      </c>
      <c r="L63" s="176">
        <f t="shared" si="3"/>
        <v>0</v>
      </c>
    </row>
    <row r="64" spans="2:14" s="159" customFormat="1" ht="11.25" customHeight="1" x14ac:dyDescent="0.2">
      <c r="B64" s="185" t="s">
        <v>286</v>
      </c>
      <c r="C64" s="904" t="s">
        <v>287</v>
      </c>
      <c r="D64" s="905"/>
      <c r="E64" s="212">
        <v>0</v>
      </c>
      <c r="F64" s="220">
        <v>0</v>
      </c>
      <c r="G64" s="185"/>
      <c r="H64" s="221"/>
      <c r="I64" s="222"/>
      <c r="J64" s="223"/>
      <c r="K64" s="158">
        <f t="shared" si="0"/>
        <v>0</v>
      </c>
      <c r="L64" s="176">
        <f t="shared" si="3"/>
        <v>0</v>
      </c>
    </row>
    <row r="65" spans="2:16" s="159" customFormat="1" ht="11.25" customHeight="1" x14ac:dyDescent="0.2">
      <c r="B65" s="1010" t="s">
        <v>288</v>
      </c>
      <c r="C65" s="1011"/>
      <c r="D65" s="1012"/>
      <c r="E65" s="192"/>
      <c r="F65" s="224"/>
      <c r="G65" s="225" t="s">
        <v>289</v>
      </c>
      <c r="H65" s="1013" t="s">
        <v>290</v>
      </c>
      <c r="I65" s="1014"/>
      <c r="J65" s="1014"/>
      <c r="K65" s="158">
        <f t="shared" si="0"/>
        <v>0</v>
      </c>
    </row>
    <row r="66" spans="2:16" s="157" customFormat="1" ht="11.25" customHeight="1" x14ac:dyDescent="0.2">
      <c r="B66" s="170" t="s">
        <v>291</v>
      </c>
      <c r="C66" s="911" t="s">
        <v>228</v>
      </c>
      <c r="D66" s="911"/>
      <c r="E66" s="200">
        <f>E35</f>
        <v>151944.79</v>
      </c>
      <c r="F66" s="200">
        <f>F35</f>
        <v>949353.98249201011</v>
      </c>
      <c r="G66" s="194"/>
      <c r="H66" s="194"/>
      <c r="I66" s="205"/>
      <c r="J66" s="170"/>
      <c r="K66" s="158">
        <f t="shared" si="0"/>
        <v>0.56015815993305296</v>
      </c>
      <c r="L66" s="176">
        <f t="shared" si="3"/>
        <v>0.56015815993305296</v>
      </c>
      <c r="O66" s="226"/>
    </row>
    <row r="67" spans="2:16" s="157" customFormat="1" ht="11.25" customHeight="1" x14ac:dyDescent="0.2">
      <c r="B67" s="170" t="s">
        <v>292</v>
      </c>
      <c r="C67" s="911" t="s">
        <v>293</v>
      </c>
      <c r="D67" s="911"/>
      <c r="E67" s="200">
        <f>E54</f>
        <v>56826.69</v>
      </c>
      <c r="F67" s="200">
        <f>F54</f>
        <v>355054.46613387001</v>
      </c>
      <c r="G67" s="194"/>
      <c r="H67" s="194"/>
      <c r="I67" s="227"/>
      <c r="J67" s="228"/>
      <c r="K67" s="158">
        <f t="shared" si="0"/>
        <v>0</v>
      </c>
      <c r="L67" s="176">
        <f t="shared" si="3"/>
        <v>0</v>
      </c>
      <c r="O67" s="229"/>
      <c r="P67" s="229"/>
    </row>
    <row r="68" spans="2:16" s="157" customFormat="1" ht="11.25" customHeight="1" x14ac:dyDescent="0.2">
      <c r="B68" s="170" t="s">
        <v>294</v>
      </c>
      <c r="C68" s="911" t="s">
        <v>22</v>
      </c>
      <c r="D68" s="911"/>
      <c r="E68" s="200">
        <v>80170.81</v>
      </c>
      <c r="F68" s="200">
        <f>F32</f>
        <v>500908.68992724997</v>
      </c>
      <c r="G68" s="194"/>
      <c r="H68" s="194"/>
      <c r="I68" s="230"/>
      <c r="J68" s="231"/>
      <c r="K68" s="158">
        <f t="shared" si="0"/>
        <v>0.37488138000480831</v>
      </c>
      <c r="L68" s="176">
        <f t="shared" si="3"/>
        <v>0.37488138000480831</v>
      </c>
      <c r="O68" s="229"/>
    </row>
    <row r="69" spans="2:16" s="157" customFormat="1" ht="11.25" customHeight="1" x14ac:dyDescent="0.2">
      <c r="B69" s="170" t="s">
        <v>295</v>
      </c>
      <c r="C69" s="911" t="s">
        <v>18</v>
      </c>
      <c r="D69" s="911"/>
      <c r="E69" s="200">
        <v>0</v>
      </c>
      <c r="F69" s="232">
        <f>F28</f>
        <v>0</v>
      </c>
      <c r="G69" s="194"/>
      <c r="H69" s="194"/>
      <c r="I69" s="230"/>
      <c r="J69" s="233"/>
      <c r="K69" s="158">
        <f>+E69*$F$6-F69</f>
        <v>0</v>
      </c>
      <c r="L69" s="176">
        <f>+E69*$F$6-F69</f>
        <v>0</v>
      </c>
    </row>
    <row r="70" spans="2:16" s="157" customFormat="1" ht="11.25" customHeight="1" x14ac:dyDescent="0.2">
      <c r="B70" s="170" t="s">
        <v>296</v>
      </c>
      <c r="C70" s="911" t="s">
        <v>297</v>
      </c>
      <c r="D70" s="911"/>
      <c r="E70" s="234">
        <v>0</v>
      </c>
      <c r="F70" s="234">
        <v>0</v>
      </c>
      <c r="G70" s="194"/>
      <c r="H70" s="194"/>
      <c r="I70" s="230"/>
      <c r="J70" s="235"/>
      <c r="K70" s="158">
        <f t="shared" si="0"/>
        <v>0</v>
      </c>
      <c r="L70" s="176">
        <f t="shared" si="3"/>
        <v>0</v>
      </c>
    </row>
    <row r="71" spans="2:16" s="157" customFormat="1" ht="11.25" customHeight="1" x14ac:dyDescent="0.2">
      <c r="B71" s="170" t="s">
        <v>298</v>
      </c>
      <c r="C71" s="911" t="s">
        <v>299</v>
      </c>
      <c r="D71" s="911"/>
      <c r="E71" s="234">
        <v>0</v>
      </c>
      <c r="F71" s="236">
        <f>+E71*F6</f>
        <v>0</v>
      </c>
      <c r="G71" s="194"/>
      <c r="H71" s="194"/>
      <c r="I71" s="230"/>
      <c r="J71" s="233"/>
      <c r="K71" s="158">
        <f t="shared" si="0"/>
        <v>0</v>
      </c>
      <c r="L71" s="176"/>
    </row>
    <row r="72" spans="2:16" s="157" customFormat="1" ht="11.25" customHeight="1" x14ac:dyDescent="0.2">
      <c r="B72" s="170"/>
      <c r="C72" s="206" t="s">
        <v>240</v>
      </c>
      <c r="D72" s="207"/>
      <c r="E72" s="234">
        <f>E34</f>
        <v>79905.72</v>
      </c>
      <c r="F72" s="237">
        <f>F34</f>
        <v>499252.77639155998</v>
      </c>
      <c r="G72" s="205"/>
      <c r="H72" s="209"/>
      <c r="I72" s="238"/>
      <c r="J72" s="239"/>
      <c r="K72" s="158"/>
      <c r="L72" s="176"/>
    </row>
    <row r="73" spans="2:16" s="159" customFormat="1" ht="11.25" customHeight="1" x14ac:dyDescent="0.2">
      <c r="B73" s="185" t="s">
        <v>300</v>
      </c>
      <c r="C73" s="904" t="s">
        <v>301</v>
      </c>
      <c r="D73" s="905"/>
      <c r="E73" s="201">
        <f>E66-E67-E68-E69-E70-E71+E72</f>
        <v>94853.010000000009</v>
      </c>
      <c r="F73" s="201">
        <f>F66-F67-F68-F69-F70-F71+F72</f>
        <v>592643.60282245022</v>
      </c>
      <c r="G73" s="240">
        <f>H73/F6</f>
        <v>94852.980346335185</v>
      </c>
      <c r="H73" s="906">
        <f>(F73)</f>
        <v>592643.60282245022</v>
      </c>
      <c r="I73" s="907"/>
      <c r="J73" s="908"/>
      <c r="K73" s="158">
        <f t="shared" si="0"/>
        <v>0.18527677981182933</v>
      </c>
      <c r="L73" s="176">
        <f t="shared" si="3"/>
        <v>0.18527677981182933</v>
      </c>
      <c r="M73" s="176">
        <f>E66-E67-E68-E69-E70-E71-E73+E72</f>
        <v>0</v>
      </c>
      <c r="N73" s="176">
        <f>F66-F67-F68-F69-F70-F71-F73+F72</f>
        <v>0</v>
      </c>
    </row>
    <row r="74" spans="2:16" s="246" customFormat="1" ht="11.25" customHeight="1" x14ac:dyDescent="0.2">
      <c r="B74" s="241"/>
      <c r="C74" s="242" t="s">
        <v>196</v>
      </c>
      <c r="D74" s="243"/>
      <c r="E74" s="56"/>
      <c r="F74" s="244"/>
      <c r="G74" s="56"/>
      <c r="H74" s="245" t="s">
        <v>302</v>
      </c>
      <c r="I74" s="1024"/>
      <c r="J74" s="1025"/>
      <c r="K74" s="158">
        <f t="shared" si="0"/>
        <v>0</v>
      </c>
    </row>
    <row r="75" spans="2:16" s="246" customFormat="1" ht="11.25" customHeight="1" x14ac:dyDescent="0.2">
      <c r="B75" s="247"/>
      <c r="C75" s="1015" t="s">
        <v>197</v>
      </c>
      <c r="D75" s="1015"/>
      <c r="E75" s="248">
        <f>+E73+E74</f>
        <v>94853.010000000009</v>
      </c>
      <c r="F75" s="248">
        <f>+F73+F74</f>
        <v>592643.60282245022</v>
      </c>
      <c r="G75" s="240">
        <f>G73+G74</f>
        <v>94852.980346335185</v>
      </c>
      <c r="H75" s="249"/>
      <c r="I75" s="1016">
        <f>H73+I74</f>
        <v>592643.60282245022</v>
      </c>
      <c r="J75" s="1017"/>
      <c r="K75" s="158">
        <f>+E75*$F$6-F75</f>
        <v>0.18527677981182933</v>
      </c>
    </row>
    <row r="76" spans="2:16" s="159" customFormat="1" ht="36.75" customHeight="1" x14ac:dyDescent="0.25">
      <c r="B76" s="250"/>
      <c r="C76" s="251" t="s">
        <v>303</v>
      </c>
      <c r="D76" s="252" t="s">
        <v>304</v>
      </c>
      <c r="E76" s="253" t="s">
        <v>305</v>
      </c>
      <c r="F76" s="254" t="s">
        <v>306</v>
      </c>
      <c r="G76" s="254" t="s">
        <v>307</v>
      </c>
      <c r="H76" s="1018" t="s">
        <v>308</v>
      </c>
      <c r="I76" s="1019"/>
      <c r="J76" s="1020"/>
      <c r="K76" s="158"/>
    </row>
    <row r="77" spans="2:16" s="157" customFormat="1" ht="11.25" customHeight="1" x14ac:dyDescent="0.2">
      <c r="B77" s="170">
        <v>55</v>
      </c>
      <c r="C77" s="170" t="s">
        <v>309</v>
      </c>
      <c r="D77" s="142">
        <v>117</v>
      </c>
      <c r="E77" s="255">
        <f t="shared" ref="E77:E84" si="4">D77/$D$85</f>
        <v>0.3295774647887324</v>
      </c>
      <c r="F77" s="99">
        <v>6324003.0800000001</v>
      </c>
      <c r="G77" s="99">
        <v>6282897.3200000003</v>
      </c>
      <c r="H77" s="1021">
        <f>G77/$G$85</f>
        <v>0.24747343172429365</v>
      </c>
      <c r="I77" s="1022"/>
      <c r="J77" s="1023"/>
      <c r="K77" s="158"/>
    </row>
    <row r="78" spans="2:16" s="157" customFormat="1" ht="11.25" customHeight="1" x14ac:dyDescent="0.2">
      <c r="B78" s="170">
        <v>56</v>
      </c>
      <c r="C78" s="170" t="s">
        <v>310</v>
      </c>
      <c r="D78" s="144">
        <v>16</v>
      </c>
      <c r="E78" s="255">
        <f t="shared" si="4"/>
        <v>4.507042253521127E-2</v>
      </c>
      <c r="F78" s="99">
        <v>937855.21</v>
      </c>
      <c r="G78" s="99">
        <v>933460.83</v>
      </c>
      <c r="H78" s="1021">
        <f t="shared" ref="H78:H84" si="5">G78/$G$85</f>
        <v>3.6767552168162354E-2</v>
      </c>
      <c r="I78" s="1022"/>
      <c r="J78" s="1023"/>
      <c r="K78" s="158"/>
      <c r="N78" s="229"/>
    </row>
    <row r="79" spans="2:16" s="157" customFormat="1" ht="11.25" customHeight="1" x14ac:dyDescent="0.2">
      <c r="B79" s="170">
        <v>57</v>
      </c>
      <c r="C79" s="170" t="s">
        <v>311</v>
      </c>
      <c r="D79" s="142">
        <v>14</v>
      </c>
      <c r="E79" s="255">
        <f t="shared" si="4"/>
        <v>3.9436619718309862E-2</v>
      </c>
      <c r="F79" s="99">
        <v>826037.8</v>
      </c>
      <c r="G79" s="99">
        <v>822854.32</v>
      </c>
      <c r="H79" s="1021">
        <f t="shared" si="5"/>
        <v>3.241093591189869E-2</v>
      </c>
      <c r="I79" s="1022"/>
      <c r="J79" s="1023"/>
      <c r="K79" s="158"/>
    </row>
    <row r="80" spans="2:16" s="157" customFormat="1" ht="11.25" customHeight="1" x14ac:dyDescent="0.2">
      <c r="B80" s="170">
        <v>58</v>
      </c>
      <c r="C80" s="170" t="s">
        <v>312</v>
      </c>
      <c r="D80" s="142">
        <v>16</v>
      </c>
      <c r="E80" s="255">
        <f t="shared" si="4"/>
        <v>4.507042253521127E-2</v>
      </c>
      <c r="F80" s="99">
        <v>952823.15</v>
      </c>
      <c r="G80" s="99">
        <v>952823.15</v>
      </c>
      <c r="H80" s="1021">
        <f t="shared" si="5"/>
        <v>3.7530203463018143E-2</v>
      </c>
      <c r="I80" s="1022"/>
      <c r="J80" s="1023"/>
      <c r="K80" s="158"/>
    </row>
    <row r="81" spans="2:16" s="157" customFormat="1" ht="11.25" customHeight="1" x14ac:dyDescent="0.2">
      <c r="B81" s="170">
        <v>59</v>
      </c>
      <c r="C81" s="170" t="s">
        <v>313</v>
      </c>
      <c r="D81" s="144">
        <v>1</v>
      </c>
      <c r="E81" s="255">
        <f t="shared" si="4"/>
        <v>2.8169014084507044E-3</v>
      </c>
      <c r="F81" s="99">
        <v>73005.570000000007</v>
      </c>
      <c r="G81" s="99">
        <v>72648.87</v>
      </c>
      <c r="H81" s="1021">
        <f t="shared" si="5"/>
        <v>2.8615245887532795E-3</v>
      </c>
      <c r="I81" s="1022"/>
      <c r="J81" s="1023"/>
      <c r="K81" s="158"/>
      <c r="M81" s="158"/>
    </row>
    <row r="82" spans="2:16" s="157" customFormat="1" ht="11.25" customHeight="1" x14ac:dyDescent="0.2">
      <c r="B82" s="170">
        <v>60</v>
      </c>
      <c r="C82" s="170" t="s">
        <v>314</v>
      </c>
      <c r="D82" s="144">
        <v>9</v>
      </c>
      <c r="E82" s="255">
        <f t="shared" si="4"/>
        <v>2.5352112676056339E-2</v>
      </c>
      <c r="F82" s="99">
        <v>567774.15</v>
      </c>
      <c r="G82" s="99">
        <v>567585.97</v>
      </c>
      <c r="H82" s="1021">
        <f t="shared" si="5"/>
        <v>2.2356317577773493E-2</v>
      </c>
      <c r="I82" s="1022"/>
      <c r="J82" s="1023"/>
      <c r="K82" s="158"/>
    </row>
    <row r="83" spans="2:16" s="157" customFormat="1" ht="11.25" customHeight="1" x14ac:dyDescent="0.2">
      <c r="B83" s="170">
        <v>61</v>
      </c>
      <c r="C83" s="170" t="s">
        <v>315</v>
      </c>
      <c r="D83" s="144">
        <v>4</v>
      </c>
      <c r="E83" s="255">
        <f t="shared" si="4"/>
        <v>1.1267605633802818E-2</v>
      </c>
      <c r="F83" s="99">
        <v>301507.71000000002</v>
      </c>
      <c r="G83" s="99">
        <v>297924.49</v>
      </c>
      <c r="H83" s="1021">
        <f t="shared" si="5"/>
        <v>1.1734776517883631E-2</v>
      </c>
      <c r="I83" s="1022"/>
      <c r="J83" s="1023"/>
      <c r="K83" s="158"/>
    </row>
    <row r="84" spans="2:16" s="157" customFormat="1" ht="11.25" customHeight="1" x14ac:dyDescent="0.2">
      <c r="B84" s="170">
        <v>62</v>
      </c>
      <c r="C84" s="170" t="s">
        <v>316</v>
      </c>
      <c r="D84" s="144">
        <v>178</v>
      </c>
      <c r="E84" s="255">
        <f t="shared" si="4"/>
        <v>0.50140845070422535</v>
      </c>
      <c r="F84" s="99">
        <v>15458565</v>
      </c>
      <c r="G84" s="99">
        <v>15457974.1</v>
      </c>
      <c r="H84" s="1021">
        <f t="shared" si="5"/>
        <v>0.60886525804821667</v>
      </c>
      <c r="I84" s="1022"/>
      <c r="J84" s="1023"/>
      <c r="K84" s="158"/>
    </row>
    <row r="85" spans="2:16" s="159" customFormat="1" ht="11.25" customHeight="1" x14ac:dyDescent="0.25">
      <c r="B85" s="256" t="s">
        <v>317</v>
      </c>
      <c r="C85" s="257" t="s">
        <v>318</v>
      </c>
      <c r="D85" s="258">
        <f>SUM(D77:D84)</f>
        <v>355</v>
      </c>
      <c r="E85" s="259">
        <f>SUM(E77:E84)</f>
        <v>1</v>
      </c>
      <c r="F85" s="260">
        <f>SUM(F77:F84)</f>
        <v>25441571.670000002</v>
      </c>
      <c r="G85" s="260">
        <f>SUM(G77:G84)</f>
        <v>25388169.050000001</v>
      </c>
      <c r="H85" s="1030">
        <f>SUM(H77:J84)</f>
        <v>1</v>
      </c>
      <c r="I85" s="1031"/>
      <c r="J85" s="1032"/>
      <c r="K85" s="158"/>
      <c r="L85" s="176">
        <f>+F85-E8</f>
        <v>0</v>
      </c>
      <c r="M85" s="261">
        <f>+G85-E13</f>
        <v>0</v>
      </c>
    </row>
    <row r="86" spans="2:16" s="159" customFormat="1" ht="35.25" customHeight="1" x14ac:dyDescent="0.25">
      <c r="B86" s="250"/>
      <c r="C86" s="251"/>
      <c r="D86" s="252" t="s">
        <v>319</v>
      </c>
      <c r="E86" s="262" t="s">
        <v>320</v>
      </c>
      <c r="F86" s="254" t="s">
        <v>321</v>
      </c>
      <c r="G86" s="254" t="s">
        <v>322</v>
      </c>
      <c r="H86" s="902" t="s">
        <v>323</v>
      </c>
      <c r="I86" s="903"/>
      <c r="J86" s="263" t="s">
        <v>224</v>
      </c>
      <c r="K86" s="158"/>
    </row>
    <row r="87" spans="2:16" s="157" customFormat="1" ht="11.25" customHeight="1" x14ac:dyDescent="0.2">
      <c r="B87" s="170" t="s">
        <v>324</v>
      </c>
      <c r="C87" s="170" t="s">
        <v>325</v>
      </c>
      <c r="D87" s="264">
        <f>SUM(D77:D80)</f>
        <v>163</v>
      </c>
      <c r="E87" s="265">
        <f>SUM(D81:D84)</f>
        <v>192</v>
      </c>
      <c r="F87" s="265">
        <f>SUM(D77:D83)</f>
        <v>177</v>
      </c>
      <c r="G87" s="265">
        <f>D84</f>
        <v>178</v>
      </c>
      <c r="H87" s="1026">
        <f>D85</f>
        <v>355</v>
      </c>
      <c r="I87" s="1027"/>
      <c r="J87" s="266">
        <v>21</v>
      </c>
      <c r="K87" s="158"/>
      <c r="L87" s="176">
        <f>SUM(D77:D80)-D87</f>
        <v>0</v>
      </c>
      <c r="M87" s="176">
        <f>SUM(D81:D84)-E87</f>
        <v>0</v>
      </c>
      <c r="N87" s="176">
        <f>SUM(D77:D83)-F87</f>
        <v>0</v>
      </c>
      <c r="O87" s="176">
        <f>D84-G87</f>
        <v>0</v>
      </c>
      <c r="P87" s="176">
        <f>+D85-H87</f>
        <v>0</v>
      </c>
    </row>
    <row r="88" spans="2:16" s="157" customFormat="1" ht="11.25" customHeight="1" x14ac:dyDescent="0.2">
      <c r="B88" s="170" t="s">
        <v>326</v>
      </c>
      <c r="C88" s="170" t="s">
        <v>327</v>
      </c>
      <c r="D88" s="178">
        <f>SUM(G77:G80)</f>
        <v>8992035.620000001</v>
      </c>
      <c r="E88" s="171">
        <f>SUM(G81:G84)</f>
        <v>16396133.43</v>
      </c>
      <c r="F88" s="171">
        <f>SUM(G77:G83)</f>
        <v>9930194.9500000011</v>
      </c>
      <c r="G88" s="171">
        <f>G84</f>
        <v>15457974.1</v>
      </c>
      <c r="H88" s="1028">
        <f>G85</f>
        <v>25388169.050000001</v>
      </c>
      <c r="I88" s="1028"/>
      <c r="J88" s="267">
        <v>1769876.56</v>
      </c>
      <c r="K88" s="268"/>
      <c r="L88" s="176">
        <f>SUM(G77:G80)-D88</f>
        <v>0</v>
      </c>
      <c r="M88" s="176">
        <f>SUM(G81:G84)-E88</f>
        <v>0</v>
      </c>
      <c r="N88" s="176">
        <f>SUM(G77:G83)-F88</f>
        <v>0</v>
      </c>
      <c r="O88" s="176">
        <f>G84-G88</f>
        <v>0</v>
      </c>
      <c r="P88" s="176">
        <f>+G85-H88</f>
        <v>0</v>
      </c>
    </row>
    <row r="89" spans="2:16" s="157" customFormat="1" ht="11.25" customHeight="1" x14ac:dyDescent="0.2">
      <c r="B89" s="170" t="s">
        <v>328</v>
      </c>
      <c r="C89" s="170" t="s">
        <v>329</v>
      </c>
      <c r="D89" s="269">
        <f>+D88/H88</f>
        <v>0.35418212326737286</v>
      </c>
      <c r="E89" s="255">
        <f>+E88/H88</f>
        <v>0.64581787673262714</v>
      </c>
      <c r="F89" s="255">
        <f>+F88/H88</f>
        <v>0.39113474195178327</v>
      </c>
      <c r="G89" s="255">
        <f>+G88/H88</f>
        <v>0.60886525804821667</v>
      </c>
      <c r="H89" s="1029">
        <v>0.99999999999999911</v>
      </c>
      <c r="I89" s="1029"/>
      <c r="J89" s="270"/>
      <c r="K89" s="158"/>
      <c r="L89" s="176">
        <f>SUM(H77:J80)-D89</f>
        <v>0</v>
      </c>
      <c r="M89" s="176">
        <f>SUM(H81:J84)-E89</f>
        <v>0</v>
      </c>
      <c r="N89" s="176">
        <f>SUM(H77:J83)-F89</f>
        <v>0</v>
      </c>
      <c r="O89" s="176">
        <f>H84-G89</f>
        <v>0</v>
      </c>
      <c r="P89" s="176">
        <f>+H85-H89</f>
        <v>0</v>
      </c>
    </row>
    <row r="90" spans="2:16" s="157" customFormat="1" ht="11.25" customHeight="1" x14ac:dyDescent="0.2">
      <c r="B90" s="170" t="s">
        <v>330</v>
      </c>
      <c r="C90" s="170" t="s">
        <v>331</v>
      </c>
      <c r="D90" s="178">
        <v>20209.68</v>
      </c>
      <c r="E90" s="171">
        <v>9723278.6699999999</v>
      </c>
      <c r="F90" s="171">
        <v>55262.44</v>
      </c>
      <c r="G90" s="171">
        <v>9688225.9100000001</v>
      </c>
      <c r="H90" s="1028">
        <f>+G90+F90</f>
        <v>9743488.3499999996</v>
      </c>
      <c r="I90" s="1028"/>
      <c r="J90" s="271"/>
      <c r="K90" s="158"/>
    </row>
    <row r="91" spans="2:16" s="157" customFormat="1" ht="11.25" customHeight="1" x14ac:dyDescent="0.2">
      <c r="B91" s="170" t="s">
        <v>332</v>
      </c>
      <c r="C91" s="170" t="s">
        <v>22</v>
      </c>
      <c r="D91" s="178">
        <v>82489.03</v>
      </c>
      <c r="E91" s="171">
        <v>0</v>
      </c>
      <c r="F91" s="178">
        <v>82489.03</v>
      </c>
      <c r="G91" s="171">
        <v>0</v>
      </c>
      <c r="H91" s="1028">
        <f>+F91+G91</f>
        <v>82489.03</v>
      </c>
      <c r="I91" s="1028"/>
      <c r="J91" s="170"/>
      <c r="K91" s="158"/>
    </row>
    <row r="92" spans="2:16" s="157" customFormat="1" ht="13.5" customHeight="1" x14ac:dyDescent="0.2">
      <c r="B92" s="170" t="s">
        <v>333</v>
      </c>
      <c r="C92" s="272" t="s">
        <v>334</v>
      </c>
      <c r="D92" s="178">
        <v>7529.09</v>
      </c>
      <c r="E92" s="171">
        <v>3431910.68</v>
      </c>
      <c r="F92" s="171">
        <v>22249.84</v>
      </c>
      <c r="G92" s="171">
        <v>3417189.93</v>
      </c>
      <c r="H92" s="1028">
        <f>+F92+G92</f>
        <v>3439439.77</v>
      </c>
      <c r="I92" s="1028"/>
      <c r="J92" s="170"/>
      <c r="K92" s="158"/>
    </row>
    <row r="93" spans="2:16" s="159" customFormat="1" ht="11.45" customHeight="1" x14ac:dyDescent="0.2">
      <c r="B93" s="888"/>
      <c r="C93" s="888"/>
      <c r="D93" s="225"/>
      <c r="E93" s="225" t="s">
        <v>335</v>
      </c>
      <c r="F93" s="225" t="s">
        <v>336</v>
      </c>
      <c r="G93" s="895"/>
      <c r="H93" s="895"/>
      <c r="I93" s="895"/>
      <c r="J93" s="895"/>
      <c r="K93" s="273"/>
      <c r="L93" s="157"/>
    </row>
    <row r="94" spans="2:16" s="159" customFormat="1" ht="11.25" customHeight="1" x14ac:dyDescent="0.2">
      <c r="B94" s="213" t="s">
        <v>337</v>
      </c>
      <c r="C94" s="219" t="s">
        <v>338</v>
      </c>
      <c r="D94" s="219"/>
      <c r="E94" s="265">
        <v>139</v>
      </c>
      <c r="F94" s="274">
        <v>12275610.32</v>
      </c>
      <c r="G94" s="275"/>
      <c r="H94" s="890"/>
      <c r="I94" s="890"/>
      <c r="J94" s="276"/>
      <c r="K94" s="158"/>
    </row>
    <row r="95" spans="2:16" s="159" customFormat="1" ht="11.25" customHeight="1" x14ac:dyDescent="0.2">
      <c r="B95" s="888"/>
      <c r="C95" s="888"/>
      <c r="D95" s="225"/>
      <c r="E95" s="225" t="s">
        <v>335</v>
      </c>
      <c r="F95" s="225" t="s">
        <v>336</v>
      </c>
      <c r="G95" s="895"/>
      <c r="H95" s="895"/>
      <c r="I95" s="895"/>
      <c r="J95" s="895"/>
      <c r="K95" s="273"/>
      <c r="L95" s="157"/>
    </row>
    <row r="96" spans="2:16" s="159" customFormat="1" ht="11.25" customHeight="1" x14ac:dyDescent="0.2">
      <c r="B96" s="213" t="s">
        <v>339</v>
      </c>
      <c r="C96" s="219" t="s">
        <v>340</v>
      </c>
      <c r="D96" s="219"/>
      <c r="E96" s="277">
        <v>356</v>
      </c>
      <c r="F96" s="99">
        <v>25606963.52</v>
      </c>
      <c r="G96" s="213"/>
      <c r="H96" s="890"/>
      <c r="I96" s="890"/>
      <c r="J96" s="890"/>
      <c r="K96" s="890"/>
      <c r="L96" s="176">
        <f>+F96-F85</f>
        <v>165391.84999999776</v>
      </c>
      <c r="M96" s="176">
        <f>+E96-E97-E101-E98</f>
        <v>0</v>
      </c>
    </row>
    <row r="97" spans="2:13" s="159" customFormat="1" ht="11.25" customHeight="1" x14ac:dyDescent="0.2">
      <c r="B97" s="213" t="s">
        <v>341</v>
      </c>
      <c r="C97" s="219" t="s">
        <v>342</v>
      </c>
      <c r="D97" s="219"/>
      <c r="E97" s="277">
        <v>0</v>
      </c>
      <c r="F97" s="99">
        <v>0</v>
      </c>
      <c r="G97" s="271"/>
      <c r="H97" s="889"/>
      <c r="I97" s="890"/>
      <c r="J97" s="890"/>
      <c r="K97" s="890"/>
    </row>
    <row r="98" spans="2:13" s="159" customFormat="1" ht="11.25" customHeight="1" x14ac:dyDescent="0.2">
      <c r="B98" s="213" t="s">
        <v>343</v>
      </c>
      <c r="C98" s="219" t="s">
        <v>224</v>
      </c>
      <c r="D98" s="219"/>
      <c r="E98" s="277">
        <v>1</v>
      </c>
      <c r="F98" s="56">
        <v>96821.96</v>
      </c>
      <c r="G98" s="213"/>
      <c r="H98" s="890"/>
      <c r="I98" s="890"/>
      <c r="J98" s="890"/>
      <c r="K98" s="890"/>
    </row>
    <row r="99" spans="2:13" s="159" customFormat="1" ht="11.25" customHeight="1" x14ac:dyDescent="0.2">
      <c r="B99" s="213" t="s">
        <v>344</v>
      </c>
      <c r="C99" s="219" t="s">
        <v>345</v>
      </c>
      <c r="D99" s="219"/>
      <c r="E99" s="277">
        <v>0</v>
      </c>
      <c r="F99" s="153" t="s">
        <v>201</v>
      </c>
      <c r="G99" s="213"/>
      <c r="H99" s="1033"/>
      <c r="I99" s="1033"/>
      <c r="J99" s="890"/>
      <c r="K99" s="890"/>
    </row>
    <row r="100" spans="2:13" s="159" customFormat="1" ht="11.25" customHeight="1" x14ac:dyDescent="0.2">
      <c r="B100" s="213" t="s">
        <v>346</v>
      </c>
      <c r="C100" s="219" t="s">
        <v>347</v>
      </c>
      <c r="D100" s="219"/>
      <c r="E100" s="277">
        <v>0</v>
      </c>
      <c r="F100" s="153" t="s">
        <v>201</v>
      </c>
      <c r="G100" s="275"/>
      <c r="H100" s="889"/>
      <c r="I100" s="890"/>
      <c r="J100" s="890"/>
      <c r="K100" s="890"/>
    </row>
    <row r="101" spans="2:13" s="159" customFormat="1" ht="11.25" customHeight="1" x14ac:dyDescent="0.2">
      <c r="B101" s="213" t="s">
        <v>348</v>
      </c>
      <c r="C101" s="219" t="s">
        <v>349</v>
      </c>
      <c r="D101" s="219"/>
      <c r="E101" s="277">
        <f>E96-E97+E99-E100-E98</f>
        <v>355</v>
      </c>
      <c r="F101" s="56">
        <f>+G85</f>
        <v>25388169.050000001</v>
      </c>
      <c r="G101" s="275"/>
      <c r="H101" s="889"/>
      <c r="I101" s="890"/>
      <c r="J101" s="890"/>
      <c r="K101" s="890"/>
      <c r="L101" s="176">
        <f>+E101-D85</f>
        <v>0</v>
      </c>
      <c r="M101" s="176">
        <f>+F101-G85</f>
        <v>0</v>
      </c>
    </row>
    <row r="102" spans="2:13" s="159" customFormat="1" ht="11.25" customHeight="1" x14ac:dyDescent="0.2">
      <c r="B102" s="888"/>
      <c r="C102" s="888"/>
      <c r="D102" s="225"/>
      <c r="E102" s="278"/>
      <c r="F102" s="225" t="s">
        <v>350</v>
      </c>
      <c r="G102" s="895"/>
      <c r="H102" s="895"/>
      <c r="I102" s="895"/>
      <c r="J102" s="895"/>
      <c r="K102" s="273"/>
      <c r="L102" s="157"/>
    </row>
    <row r="103" spans="2:13" s="157" customFormat="1" ht="11.25" customHeight="1" x14ac:dyDescent="0.2">
      <c r="B103" s="170" t="s">
        <v>351</v>
      </c>
      <c r="C103" s="279" t="s">
        <v>352</v>
      </c>
      <c r="D103" s="279"/>
      <c r="E103" s="170"/>
      <c r="F103" s="280">
        <v>-8830160.6300000008</v>
      </c>
      <c r="G103" s="281"/>
      <c r="H103" s="911"/>
      <c r="I103" s="911"/>
      <c r="J103" s="911"/>
      <c r="K103" s="911"/>
    </row>
    <row r="104" spans="2:13" s="157" customFormat="1" ht="11.25" customHeight="1" x14ac:dyDescent="0.2">
      <c r="B104" s="170" t="s">
        <v>353</v>
      </c>
      <c r="C104" s="279" t="s">
        <v>354</v>
      </c>
      <c r="D104" s="279"/>
      <c r="E104" s="282"/>
      <c r="F104" s="267">
        <f>+J88+G85</f>
        <v>27158045.609999999</v>
      </c>
      <c r="G104" s="283"/>
      <c r="H104" s="911"/>
      <c r="I104" s="911"/>
      <c r="J104" s="911"/>
      <c r="K104" s="911"/>
      <c r="L104" s="176">
        <f>+F104-G85-J88</f>
        <v>0</v>
      </c>
    </row>
    <row r="105" spans="2:13" s="157" customFormat="1" ht="32.25" customHeight="1" x14ac:dyDescent="0.25">
      <c r="F105" s="229"/>
      <c r="K105" s="158"/>
    </row>
    <row r="106" spans="2:13" s="157" customFormat="1" ht="30.75" customHeight="1" x14ac:dyDescent="0.2">
      <c r="C106" s="284" t="s">
        <v>355</v>
      </c>
      <c r="G106" s="909" t="s">
        <v>356</v>
      </c>
      <c r="H106" s="909"/>
      <c r="I106" s="909"/>
      <c r="K106" s="158"/>
    </row>
  </sheetData>
  <mergeCells count="127">
    <mergeCell ref="G106:I106"/>
    <mergeCell ref="B102:C102"/>
    <mergeCell ref="G102:H102"/>
    <mergeCell ref="I102:J102"/>
    <mergeCell ref="H103:I103"/>
    <mergeCell ref="J103:K103"/>
    <mergeCell ref="H104:I104"/>
    <mergeCell ref="J104:K104"/>
    <mergeCell ref="H99:I99"/>
    <mergeCell ref="J99:K99"/>
    <mergeCell ref="H100:I100"/>
    <mergeCell ref="J100:K100"/>
    <mergeCell ref="H101:I101"/>
    <mergeCell ref="J101:K101"/>
    <mergeCell ref="H96:I96"/>
    <mergeCell ref="J96:K96"/>
    <mergeCell ref="H97:I97"/>
    <mergeCell ref="J97:K97"/>
    <mergeCell ref="H98:I98"/>
    <mergeCell ref="J98:K98"/>
    <mergeCell ref="H92:I92"/>
    <mergeCell ref="B93:C93"/>
    <mergeCell ref="G93:H93"/>
    <mergeCell ref="I93:J93"/>
    <mergeCell ref="H94:I94"/>
    <mergeCell ref="B95:C95"/>
    <mergeCell ref="G95:H95"/>
    <mergeCell ref="I95:J95"/>
    <mergeCell ref="H86:I86"/>
    <mergeCell ref="H87:I87"/>
    <mergeCell ref="H88:I88"/>
    <mergeCell ref="H89:I89"/>
    <mergeCell ref="H90:I90"/>
    <mergeCell ref="H91:I91"/>
    <mergeCell ref="H80:J80"/>
    <mergeCell ref="H81:J81"/>
    <mergeCell ref="H82:J82"/>
    <mergeCell ref="H83:J83"/>
    <mergeCell ref="H84:J84"/>
    <mergeCell ref="H85:J85"/>
    <mergeCell ref="C75:D75"/>
    <mergeCell ref="I75:J75"/>
    <mergeCell ref="H76:J76"/>
    <mergeCell ref="H77:J77"/>
    <mergeCell ref="H78:J78"/>
    <mergeCell ref="H79:J79"/>
    <mergeCell ref="C69:D69"/>
    <mergeCell ref="C70:D70"/>
    <mergeCell ref="C71:D71"/>
    <mergeCell ref="C73:D73"/>
    <mergeCell ref="H73:J73"/>
    <mergeCell ref="I74:J74"/>
    <mergeCell ref="C64:D64"/>
    <mergeCell ref="B65:D65"/>
    <mergeCell ref="H65:J65"/>
    <mergeCell ref="C66:D66"/>
    <mergeCell ref="C67:D67"/>
    <mergeCell ref="C68:D68"/>
    <mergeCell ref="C59:D59"/>
    <mergeCell ref="C60:D60"/>
    <mergeCell ref="C61:D61"/>
    <mergeCell ref="H61:J61"/>
    <mergeCell ref="C62:D62"/>
    <mergeCell ref="C63:D63"/>
    <mergeCell ref="C54:D54"/>
    <mergeCell ref="B55:D55"/>
    <mergeCell ref="F55:J55"/>
    <mergeCell ref="C56:D56"/>
    <mergeCell ref="C57:D57"/>
    <mergeCell ref="C58:D58"/>
    <mergeCell ref="H58:J58"/>
    <mergeCell ref="C48:D48"/>
    <mergeCell ref="C49:D49"/>
    <mergeCell ref="C50:D50"/>
    <mergeCell ref="C51:D51"/>
    <mergeCell ref="C52:D52"/>
    <mergeCell ref="C53:D53"/>
    <mergeCell ref="F42:J42"/>
    <mergeCell ref="C43:D43"/>
    <mergeCell ref="C44:D44"/>
    <mergeCell ref="C45:D45"/>
    <mergeCell ref="C46:D46"/>
    <mergeCell ref="C47:D47"/>
    <mergeCell ref="C37:D37"/>
    <mergeCell ref="C38:D38"/>
    <mergeCell ref="C39:D39"/>
    <mergeCell ref="C40:D40"/>
    <mergeCell ref="C41:D41"/>
    <mergeCell ref="B42:D42"/>
    <mergeCell ref="C30:D30"/>
    <mergeCell ref="C31:D31"/>
    <mergeCell ref="C32:D32"/>
    <mergeCell ref="G32:H32"/>
    <mergeCell ref="C35:D35"/>
    <mergeCell ref="B36:D36"/>
    <mergeCell ref="F36:J36"/>
    <mergeCell ref="C24:D24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H22:J22"/>
    <mergeCell ref="C23:D23"/>
    <mergeCell ref="B14:D14"/>
    <mergeCell ref="H14:J14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C13:D13"/>
    <mergeCell ref="B2:J2"/>
    <mergeCell ref="B4:J4"/>
    <mergeCell ref="C5:D5"/>
    <mergeCell ref="G5:H5"/>
    <mergeCell ref="G6:H6"/>
    <mergeCell ref="B7:D7"/>
    <mergeCell ref="H7:J7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5" orientation="portrait" horizontalDpi="4294967294" vertic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4A42-5A60-4C90-8CBE-CA75127262AC}">
  <sheetPr codeName="Hoja1">
    <pageSetUpPr fitToPage="1"/>
  </sheetPr>
  <dimension ref="A1:K105"/>
  <sheetViews>
    <sheetView showGridLines="0" topLeftCell="A61" zoomScaleNormal="100" zoomScaleSheetLayoutView="50" workbookViewId="0">
      <selection activeCell="A96" sqref="A96"/>
    </sheetView>
  </sheetViews>
  <sheetFormatPr baseColWidth="10" defaultColWidth="9.140625" defaultRowHeight="12" x14ac:dyDescent="0.2"/>
  <cols>
    <col min="1" max="1" width="34.42578125" style="27" customWidth="1"/>
    <col min="2" max="2" width="24.42578125" style="27" customWidth="1"/>
    <col min="3" max="3" width="21.7109375" style="27" customWidth="1"/>
    <col min="4" max="4" width="23" style="27" customWidth="1"/>
    <col min="5" max="5" width="20.140625" style="27" customWidth="1"/>
    <col min="6" max="6" width="20.28515625" style="27" customWidth="1"/>
    <col min="7" max="7" width="15.5703125" style="27" customWidth="1"/>
    <col min="8" max="8" width="20.28515625" style="27" customWidth="1"/>
    <col min="9" max="9" width="16.85546875" style="27" customWidth="1"/>
    <col min="10" max="10" width="14.5703125" style="27" customWidth="1"/>
    <col min="11" max="11" width="2.140625" style="27" customWidth="1"/>
    <col min="12" max="12" width="18.5703125" style="27" customWidth="1"/>
    <col min="13" max="13" width="19.140625" style="27" bestFit="1" customWidth="1"/>
    <col min="14" max="14" width="55" style="27" bestFit="1" customWidth="1"/>
    <col min="15" max="15" width="8" style="27" customWidth="1"/>
    <col min="16" max="16" width="9.85546875" style="27" bestFit="1" customWidth="1"/>
    <col min="17" max="17" width="6.85546875" style="27" customWidth="1"/>
    <col min="18" max="18" width="23.7109375" style="27" customWidth="1"/>
    <col min="19" max="16384" width="9.140625" style="27"/>
  </cols>
  <sheetData>
    <row r="1" spans="1:11" x14ac:dyDescent="0.2">
      <c r="A1" s="1038" t="s">
        <v>97</v>
      </c>
      <c r="B1" s="1038"/>
      <c r="C1" s="1038"/>
      <c r="D1" s="1038"/>
      <c r="E1" s="1038"/>
      <c r="F1" s="1038"/>
    </row>
    <row r="2" spans="1:11" ht="15" customHeight="1" x14ac:dyDescent="0.2">
      <c r="A2" s="1039" t="s">
        <v>216</v>
      </c>
      <c r="B2" s="1039"/>
      <c r="C2" s="1039"/>
      <c r="D2" s="1039"/>
      <c r="E2" s="1039"/>
      <c r="F2" s="1039"/>
      <c r="G2" s="28"/>
      <c r="H2" s="28"/>
    </row>
    <row r="3" spans="1:11" ht="12" customHeight="1" x14ac:dyDescent="0.2">
      <c r="A3" s="1039" t="s">
        <v>217</v>
      </c>
      <c r="B3" s="1039"/>
      <c r="C3" s="1039"/>
      <c r="D3" s="1039"/>
      <c r="E3" s="1039"/>
      <c r="F3" s="1039"/>
      <c r="G3" s="29"/>
      <c r="H3" s="29"/>
    </row>
    <row r="4" spans="1:11" x14ac:dyDescent="0.2">
      <c r="A4" s="30"/>
      <c r="B4" s="30"/>
      <c r="C4" s="1040"/>
      <c r="D4" s="1040"/>
      <c r="E4" s="1040"/>
      <c r="F4" s="1040"/>
      <c r="G4" s="31"/>
      <c r="H4" s="1041" t="s">
        <v>98</v>
      </c>
      <c r="I4" s="1041"/>
      <c r="J4" s="1041"/>
    </row>
    <row r="5" spans="1:11" x14ac:dyDescent="0.2">
      <c r="A5" s="29" t="s">
        <v>99</v>
      </c>
      <c r="B5" s="29"/>
      <c r="C5" s="32" t="s">
        <v>100</v>
      </c>
      <c r="D5" s="32" t="s">
        <v>60</v>
      </c>
      <c r="E5" s="32"/>
      <c r="F5" s="32" t="s">
        <v>101</v>
      </c>
      <c r="G5" s="28"/>
      <c r="H5" s="33"/>
      <c r="I5" s="1037" t="s">
        <v>2</v>
      </c>
      <c r="J5" s="1037" t="s">
        <v>71</v>
      </c>
    </row>
    <row r="6" spans="1:11" x14ac:dyDescent="0.2">
      <c r="A6" s="29" t="s">
        <v>102</v>
      </c>
      <c r="B6" s="29"/>
      <c r="C6" s="34" t="s">
        <v>99</v>
      </c>
      <c r="D6" s="35">
        <v>6.2288119999999996</v>
      </c>
      <c r="E6" s="34" t="s">
        <v>99</v>
      </c>
      <c r="F6" s="36"/>
      <c r="H6" s="37"/>
      <c r="I6" s="1037"/>
      <c r="J6" s="1037"/>
    </row>
    <row r="7" spans="1:11" x14ac:dyDescent="0.2">
      <c r="A7" s="38" t="s">
        <v>103</v>
      </c>
      <c r="B7" s="39"/>
      <c r="C7" s="40" t="s">
        <v>99</v>
      </c>
      <c r="D7" s="40" t="s">
        <v>99</v>
      </c>
      <c r="E7" s="40" t="s">
        <v>99</v>
      </c>
      <c r="F7" s="40" t="s">
        <v>99</v>
      </c>
      <c r="G7" s="41"/>
      <c r="H7" s="42" t="s">
        <v>70</v>
      </c>
      <c r="I7" s="43">
        <f>C8</f>
        <v>25606963.52</v>
      </c>
      <c r="J7" s="44">
        <f>D8</f>
        <v>159500961.65693823</v>
      </c>
      <c r="K7" s="45"/>
    </row>
    <row r="8" spans="1:11" x14ac:dyDescent="0.2">
      <c r="A8" s="46" t="s">
        <v>104</v>
      </c>
      <c r="B8" s="47"/>
      <c r="C8" s="53">
        <v>25606963.52</v>
      </c>
      <c r="D8" s="48">
        <f>C8*D6</f>
        <v>159500961.65693823</v>
      </c>
      <c r="E8" s="49">
        <v>0</v>
      </c>
      <c r="F8" s="48">
        <f>D8+E8</f>
        <v>159500961.65693823</v>
      </c>
      <c r="G8" s="50"/>
      <c r="H8" s="51" t="s">
        <v>105</v>
      </c>
      <c r="I8" s="52">
        <v>0</v>
      </c>
      <c r="J8" s="52">
        <f>I8*D6</f>
        <v>0</v>
      </c>
      <c r="K8" s="45"/>
    </row>
    <row r="9" spans="1:11" x14ac:dyDescent="0.2">
      <c r="A9" s="46" t="s">
        <v>106</v>
      </c>
      <c r="B9" s="47"/>
      <c r="C9" s="53">
        <v>54063.61</v>
      </c>
      <c r="D9" s="48">
        <f>C9*D$6</f>
        <v>336752.06273131998</v>
      </c>
      <c r="E9" s="49">
        <v>0</v>
      </c>
      <c r="F9" s="48">
        <f>D9+E9</f>
        <v>336752.06273131998</v>
      </c>
      <c r="G9" s="50"/>
      <c r="H9" s="54" t="s">
        <v>107</v>
      </c>
      <c r="I9" s="55">
        <v>0</v>
      </c>
      <c r="J9" s="52">
        <f>I9*D6</f>
        <v>0</v>
      </c>
      <c r="K9" s="45"/>
    </row>
    <row r="10" spans="1:11" x14ac:dyDescent="0.2">
      <c r="A10" s="46" t="s">
        <v>108</v>
      </c>
      <c r="B10" s="65"/>
      <c r="C10" s="56">
        <v>14506.28</v>
      </c>
      <c r="D10" s="48">
        <f>C10*D$6</f>
        <v>90356.890939360004</v>
      </c>
      <c r="E10" s="49">
        <v>0</v>
      </c>
      <c r="F10" s="48">
        <f>D10+E10</f>
        <v>90356.890939360004</v>
      </c>
      <c r="G10" s="50"/>
      <c r="H10" s="51" t="s">
        <v>109</v>
      </c>
      <c r="I10" s="52">
        <f>+I7+I8-I9</f>
        <v>25606963.52</v>
      </c>
      <c r="J10" s="52">
        <f>I10*D6</f>
        <v>159500961.65693823</v>
      </c>
    </row>
    <row r="11" spans="1:11" x14ac:dyDescent="0.2">
      <c r="A11" s="46" t="s">
        <v>110</v>
      </c>
      <c r="B11" s="65"/>
      <c r="C11" s="56">
        <v>96821.96</v>
      </c>
      <c r="D11" s="48">
        <f>C11*D$6</f>
        <v>603085.78631152003</v>
      </c>
      <c r="E11" s="49">
        <v>0</v>
      </c>
      <c r="F11" s="48">
        <f>D11+E11</f>
        <v>603085.78631152003</v>
      </c>
      <c r="G11" s="50"/>
      <c r="H11" s="51" t="s">
        <v>111</v>
      </c>
      <c r="I11" s="52">
        <v>0</v>
      </c>
      <c r="J11" s="52">
        <v>0</v>
      </c>
    </row>
    <row r="12" spans="1:11" ht="14.25" customHeight="1" x14ac:dyDescent="0.2">
      <c r="A12" s="46" t="s">
        <v>112</v>
      </c>
      <c r="B12" s="47"/>
      <c r="C12" s="56">
        <v>0</v>
      </c>
      <c r="D12" s="48">
        <f>C12*D6</f>
        <v>0</v>
      </c>
      <c r="E12" s="49">
        <v>0</v>
      </c>
      <c r="F12" s="48">
        <f>D12+E12</f>
        <v>0</v>
      </c>
      <c r="G12" s="50"/>
      <c r="H12" s="54" t="s">
        <v>113</v>
      </c>
      <c r="I12" s="57">
        <f>+I10-I11</f>
        <v>25606963.52</v>
      </c>
      <c r="J12" s="57">
        <f>I12*D6</f>
        <v>159500961.65693823</v>
      </c>
    </row>
    <row r="13" spans="1:11" x14ac:dyDescent="0.2">
      <c r="A13" s="58" t="s">
        <v>114</v>
      </c>
      <c r="B13" s="58"/>
      <c r="C13" s="59">
        <f>C8-C9-C10-C11+C12</f>
        <v>25441571.669999998</v>
      </c>
      <c r="D13" s="59">
        <f>D8-D9-D10-D11+D12</f>
        <v>158470766.91695604</v>
      </c>
      <c r="E13" s="59">
        <v>0</v>
      </c>
      <c r="F13" s="59">
        <f>+D13+E13</f>
        <v>158470766.91695604</v>
      </c>
      <c r="G13" s="50"/>
    </row>
    <row r="14" spans="1:11" x14ac:dyDescent="0.2">
      <c r="A14" s="60" t="s">
        <v>115</v>
      </c>
      <c r="B14" s="61"/>
      <c r="C14" s="62"/>
      <c r="D14" s="62"/>
      <c r="E14" s="62"/>
      <c r="F14" s="62"/>
      <c r="G14" s="50"/>
      <c r="H14" s="1034" t="s">
        <v>93</v>
      </c>
      <c r="I14" s="1034"/>
      <c r="J14" s="1034"/>
    </row>
    <row r="15" spans="1:11" x14ac:dyDescent="0.2">
      <c r="A15" s="46" t="s">
        <v>116</v>
      </c>
      <c r="B15" s="47"/>
      <c r="C15" s="53">
        <v>54063.61</v>
      </c>
      <c r="D15" s="48">
        <f>C15*D$6</f>
        <v>336752.06273131998</v>
      </c>
      <c r="E15" s="49">
        <v>0</v>
      </c>
      <c r="F15" s="48">
        <f>D15+E15</f>
        <v>336752.06273131998</v>
      </c>
      <c r="G15" s="50"/>
      <c r="H15" s="1035" t="s">
        <v>117</v>
      </c>
      <c r="I15" s="1036"/>
      <c r="J15" s="44">
        <v>909743.98</v>
      </c>
    </row>
    <row r="16" spans="1:11" x14ac:dyDescent="0.2">
      <c r="A16" s="64" t="s">
        <v>108</v>
      </c>
      <c r="B16" s="65"/>
      <c r="C16" s="53">
        <v>14506.28</v>
      </c>
      <c r="D16" s="48">
        <f>C16*D$6</f>
        <v>90356.890939360004</v>
      </c>
      <c r="E16" s="66">
        <v>0</v>
      </c>
      <c r="F16" s="48">
        <f>D16+E16</f>
        <v>90356.890939360004</v>
      </c>
      <c r="G16" s="50"/>
      <c r="H16" s="140" t="s">
        <v>203</v>
      </c>
      <c r="I16" s="141"/>
      <c r="J16" s="44">
        <v>124.88</v>
      </c>
    </row>
    <row r="17" spans="1:10" x14ac:dyDescent="0.2">
      <c r="A17" s="46" t="s">
        <v>119</v>
      </c>
      <c r="B17" s="47"/>
      <c r="C17" s="56">
        <v>0</v>
      </c>
      <c r="D17" s="48">
        <v>0</v>
      </c>
      <c r="E17" s="56">
        <v>0</v>
      </c>
      <c r="F17" s="48">
        <f>D17+E17</f>
        <v>0</v>
      </c>
      <c r="G17" s="50"/>
      <c r="H17" s="1035" t="s">
        <v>118</v>
      </c>
      <c r="I17" s="1036"/>
      <c r="J17" s="44">
        <f>F30</f>
        <v>513808.65993235994</v>
      </c>
    </row>
    <row r="18" spans="1:10" x14ac:dyDescent="0.2">
      <c r="A18" s="46" t="s">
        <v>120</v>
      </c>
      <c r="B18" s="47"/>
      <c r="C18" s="56">
        <v>0</v>
      </c>
      <c r="D18" s="48">
        <f>C18*D6</f>
        <v>0</v>
      </c>
      <c r="E18" s="56">
        <v>0</v>
      </c>
      <c r="F18" s="48">
        <f>D18+E18</f>
        <v>0</v>
      </c>
      <c r="G18" s="50"/>
      <c r="H18" s="1035" t="s">
        <v>92</v>
      </c>
      <c r="I18" s="1036"/>
      <c r="J18" s="44">
        <f>D32</f>
        <v>554190.35956895992</v>
      </c>
    </row>
    <row r="19" spans="1:10" x14ac:dyDescent="0.2">
      <c r="A19" s="67" t="s">
        <v>122</v>
      </c>
      <c r="B19" s="68"/>
      <c r="C19" s="69">
        <f>C15+C16+C17-C18</f>
        <v>68569.89</v>
      </c>
      <c r="D19" s="69">
        <f>D15+D16+D17-D18</f>
        <v>427108.95367068</v>
      </c>
      <c r="E19" s="59">
        <v>0</v>
      </c>
      <c r="F19" s="59">
        <f>F15+F16+F17-F18</f>
        <v>427108.95367068</v>
      </c>
      <c r="G19" s="50"/>
      <c r="H19" s="1042" t="s">
        <v>121</v>
      </c>
      <c r="I19" s="1043"/>
      <c r="J19" s="139">
        <f>J15+J16+J17-J18</f>
        <v>869487.16036340001</v>
      </c>
    </row>
    <row r="20" spans="1:10" x14ac:dyDescent="0.2">
      <c r="A20" s="64" t="s">
        <v>123</v>
      </c>
      <c r="B20" s="65"/>
      <c r="C20" s="53">
        <v>76733.81</v>
      </c>
      <c r="D20" s="48">
        <f t="shared" ref="D20:D32" si="0">C20*D$6</f>
        <v>477960.47653371998</v>
      </c>
      <c r="E20" s="56">
        <v>0</v>
      </c>
      <c r="F20" s="48">
        <f>D20+E20</f>
        <v>477960.47653371998</v>
      </c>
      <c r="G20" s="50"/>
      <c r="H20" s="1049"/>
      <c r="I20" s="1049"/>
      <c r="J20" s="1049"/>
    </row>
    <row r="21" spans="1:10" x14ac:dyDescent="0.2">
      <c r="A21" s="64" t="s">
        <v>124</v>
      </c>
      <c r="B21" s="65"/>
      <c r="C21" s="48">
        <v>0</v>
      </c>
      <c r="D21" s="48">
        <f t="shared" si="0"/>
        <v>0</v>
      </c>
      <c r="E21" s="56">
        <v>0</v>
      </c>
      <c r="F21" s="48">
        <f>E21*F$6</f>
        <v>0</v>
      </c>
      <c r="G21" s="50"/>
      <c r="H21" s="1034" t="s">
        <v>95</v>
      </c>
      <c r="I21" s="1034"/>
      <c r="J21" s="1034"/>
    </row>
    <row r="22" spans="1:10" ht="12" customHeight="1" x14ac:dyDescent="0.2">
      <c r="A22" s="46" t="s">
        <v>126</v>
      </c>
      <c r="B22" s="47"/>
      <c r="C22" s="53">
        <v>14861.6</v>
      </c>
      <c r="D22" s="48">
        <f t="shared" si="0"/>
        <v>92570.112419199999</v>
      </c>
      <c r="E22" s="56">
        <v>0</v>
      </c>
      <c r="F22" s="48">
        <f t="shared" ref="F22:F27" si="1">D22+E22</f>
        <v>92570.112419199999</v>
      </c>
      <c r="G22" s="50"/>
      <c r="H22" s="1035" t="s">
        <v>125</v>
      </c>
      <c r="I22" s="1036"/>
      <c r="J22" s="138">
        <v>220749.47</v>
      </c>
    </row>
    <row r="23" spans="1:10" ht="12" customHeight="1" x14ac:dyDescent="0.2">
      <c r="A23" s="46" t="s">
        <v>128</v>
      </c>
      <c r="B23" s="47"/>
      <c r="C23" s="48">
        <v>0</v>
      </c>
      <c r="D23" s="48">
        <f t="shared" si="0"/>
        <v>0</v>
      </c>
      <c r="E23" s="56">
        <v>0</v>
      </c>
      <c r="F23" s="48">
        <f t="shared" si="1"/>
        <v>0</v>
      </c>
      <c r="G23" s="50"/>
      <c r="H23" s="1035" t="s">
        <v>127</v>
      </c>
      <c r="I23" s="1036"/>
      <c r="J23" s="44">
        <f>F26</f>
        <v>0</v>
      </c>
    </row>
    <row r="24" spans="1:10" x14ac:dyDescent="0.2">
      <c r="A24" s="46" t="s">
        <v>130</v>
      </c>
      <c r="B24" s="47"/>
      <c r="C24" s="53">
        <v>617.75</v>
      </c>
      <c r="D24" s="48">
        <f t="shared" si="0"/>
        <v>3847.8486129999997</v>
      </c>
      <c r="E24" s="56">
        <v>0</v>
      </c>
      <c r="F24" s="48">
        <f t="shared" si="1"/>
        <v>3847.8486129999997</v>
      </c>
      <c r="G24" s="50"/>
      <c r="H24" s="1035" t="s">
        <v>129</v>
      </c>
      <c r="I24" s="1036"/>
      <c r="J24" s="44">
        <v>0</v>
      </c>
    </row>
    <row r="25" spans="1:10" x14ac:dyDescent="0.2">
      <c r="A25" s="64" t="s">
        <v>131</v>
      </c>
      <c r="B25" s="65"/>
      <c r="C25" s="53">
        <v>10795.63</v>
      </c>
      <c r="D25" s="48">
        <f t="shared" si="0"/>
        <v>67243.949691559988</v>
      </c>
      <c r="E25" s="56">
        <v>0</v>
      </c>
      <c r="F25" s="48">
        <f t="shared" si="1"/>
        <v>67243.949691559988</v>
      </c>
      <c r="G25" s="50"/>
      <c r="H25" s="1042" t="s">
        <v>94</v>
      </c>
      <c r="I25" s="1043"/>
      <c r="J25" s="139">
        <f>J22+J23-J24</f>
        <v>220749.47</v>
      </c>
    </row>
    <row r="26" spans="1:10" x14ac:dyDescent="0.2">
      <c r="A26" s="46" t="s">
        <v>132</v>
      </c>
      <c r="B26" s="47"/>
      <c r="C26" s="53">
        <v>0</v>
      </c>
      <c r="D26" s="48">
        <f t="shared" si="0"/>
        <v>0</v>
      </c>
      <c r="E26" s="56">
        <v>0</v>
      </c>
      <c r="F26" s="48">
        <f t="shared" si="1"/>
        <v>0</v>
      </c>
      <c r="G26" s="50"/>
      <c r="I26" s="1048"/>
      <c r="J26" s="1048"/>
    </row>
    <row r="27" spans="1:10" x14ac:dyDescent="0.2">
      <c r="A27" s="64" t="s">
        <v>133</v>
      </c>
      <c r="B27" s="65"/>
      <c r="C27" s="53">
        <v>2033.19</v>
      </c>
      <c r="D27" s="48">
        <f t="shared" si="0"/>
        <v>12664.358270279999</v>
      </c>
      <c r="E27" s="56">
        <v>0</v>
      </c>
      <c r="F27" s="48">
        <f t="shared" si="1"/>
        <v>12664.358270279999</v>
      </c>
      <c r="G27" s="50"/>
      <c r="H27" s="50"/>
      <c r="I27" s="1048"/>
      <c r="J27" s="1048"/>
    </row>
    <row r="28" spans="1:10" x14ac:dyDescent="0.2">
      <c r="A28" s="64" t="s">
        <v>134</v>
      </c>
      <c r="B28" s="65"/>
      <c r="C28" s="48">
        <v>0</v>
      </c>
      <c r="D28" s="48">
        <f t="shared" si="0"/>
        <v>0</v>
      </c>
      <c r="E28" s="56">
        <v>0</v>
      </c>
      <c r="F28" s="48">
        <f>E28*F$6</f>
        <v>0</v>
      </c>
      <c r="G28" s="50"/>
    </row>
    <row r="29" spans="1:10" x14ac:dyDescent="0.2">
      <c r="A29" s="64" t="s">
        <v>135</v>
      </c>
      <c r="B29" s="65"/>
      <c r="C29" s="48">
        <v>0</v>
      </c>
      <c r="D29" s="48">
        <f t="shared" si="0"/>
        <v>0</v>
      </c>
      <c r="E29" s="56">
        <v>0</v>
      </c>
      <c r="F29" s="48">
        <f>E29*F$6</f>
        <v>0</v>
      </c>
      <c r="G29" s="50"/>
      <c r="H29" s="50"/>
      <c r="I29" s="70"/>
      <c r="J29" s="71">
        <f t="shared" ref="J29:J34" si="2">+D28+E28-F28</f>
        <v>0</v>
      </c>
    </row>
    <row r="30" spans="1:10" x14ac:dyDescent="0.2">
      <c r="A30" s="46" t="s">
        <v>136</v>
      </c>
      <c r="B30" s="47"/>
      <c r="C30" s="53">
        <v>82489.03</v>
      </c>
      <c r="D30" s="48">
        <f t="shared" si="0"/>
        <v>513808.65993235994</v>
      </c>
      <c r="E30" s="56">
        <v>0</v>
      </c>
      <c r="F30" s="48">
        <f>D30+E30</f>
        <v>513808.65993235994</v>
      </c>
      <c r="G30" s="50"/>
      <c r="H30" s="50"/>
      <c r="I30" s="70"/>
      <c r="J30" s="71">
        <f t="shared" si="2"/>
        <v>0</v>
      </c>
    </row>
    <row r="31" spans="1:10" x14ac:dyDescent="0.2">
      <c r="A31" s="46" t="s">
        <v>90</v>
      </c>
      <c r="B31" s="47"/>
      <c r="C31" s="72">
        <v>0.17</v>
      </c>
      <c r="D31" s="48">
        <f t="shared" si="0"/>
        <v>1.0588980400000001</v>
      </c>
      <c r="E31" s="56">
        <v>0</v>
      </c>
      <c r="F31" s="48">
        <f>D31+E31</f>
        <v>1.0588980400000001</v>
      </c>
      <c r="G31" s="50"/>
      <c r="H31" s="50"/>
      <c r="I31" s="70"/>
      <c r="J31" s="71">
        <f t="shared" si="2"/>
        <v>0</v>
      </c>
    </row>
    <row r="32" spans="1:10" x14ac:dyDescent="0.2">
      <c r="A32" s="46" t="s">
        <v>137</v>
      </c>
      <c r="B32" s="47"/>
      <c r="C32" s="72">
        <v>88972.08</v>
      </c>
      <c r="D32" s="48">
        <f t="shared" si="0"/>
        <v>554190.35956895992</v>
      </c>
      <c r="E32" s="56">
        <v>0</v>
      </c>
      <c r="F32" s="48">
        <f>D32+E32</f>
        <v>554190.35956895992</v>
      </c>
      <c r="G32" s="50"/>
      <c r="H32" s="50"/>
      <c r="I32" s="70"/>
      <c r="J32" s="71"/>
    </row>
    <row r="33" spans="1:10" x14ac:dyDescent="0.2">
      <c r="A33" s="67" t="s">
        <v>138</v>
      </c>
      <c r="B33" s="68"/>
      <c r="C33" s="59">
        <f>SUM(C19:C30)-C31-C32</f>
        <v>167128.65000000002</v>
      </c>
      <c r="D33" s="59">
        <f>SUM(D19:D30)-D31-D32</f>
        <v>1041012.9406637998</v>
      </c>
      <c r="E33" s="59">
        <v>0</v>
      </c>
      <c r="F33" s="59">
        <f>SUM(F19:F30)-F31-F32</f>
        <v>1041012.9406637998</v>
      </c>
      <c r="G33" s="50"/>
      <c r="H33" s="50"/>
      <c r="I33" s="70"/>
      <c r="J33" s="71"/>
    </row>
    <row r="34" spans="1:10" x14ac:dyDescent="0.2">
      <c r="A34" s="60" t="s">
        <v>139</v>
      </c>
      <c r="B34" s="61"/>
      <c r="C34" s="74" t="s">
        <v>99</v>
      </c>
      <c r="D34" s="74" t="s">
        <v>99</v>
      </c>
      <c r="E34" s="74"/>
      <c r="F34" s="74" t="s">
        <v>99</v>
      </c>
      <c r="G34" s="50"/>
      <c r="H34" s="73"/>
      <c r="I34" s="70"/>
      <c r="J34" s="71">
        <f t="shared" si="2"/>
        <v>0</v>
      </c>
    </row>
    <row r="35" spans="1:10" x14ac:dyDescent="0.2">
      <c r="A35" s="1050" t="s">
        <v>140</v>
      </c>
      <c r="B35" s="1051"/>
      <c r="C35" s="156">
        <v>617.75</v>
      </c>
      <c r="D35" s="48">
        <f>C35*D$6</f>
        <v>3847.8486129999997</v>
      </c>
      <c r="E35" s="66">
        <v>0</v>
      </c>
      <c r="F35" s="48">
        <f>D35+E35</f>
        <v>3847.8486129999997</v>
      </c>
      <c r="G35" s="50"/>
      <c r="H35" s="75"/>
      <c r="I35" s="63"/>
      <c r="J35" s="63"/>
    </row>
    <row r="36" spans="1:10" x14ac:dyDescent="0.2">
      <c r="A36" s="1050" t="s">
        <v>141</v>
      </c>
      <c r="B36" s="1051"/>
      <c r="C36" s="156">
        <v>12700.38</v>
      </c>
      <c r="D36" s="48">
        <f>C36*D$6</f>
        <v>79108.279348559983</v>
      </c>
      <c r="E36" s="66">
        <v>0</v>
      </c>
      <c r="F36" s="48">
        <f>D36+E36</f>
        <v>79108.279348559983</v>
      </c>
      <c r="G36" s="50"/>
      <c r="H36" s="50"/>
      <c r="I36" s="70"/>
      <c r="J36" s="71">
        <f t="shared" ref="J36:J40" si="3">+D35+E35-F35</f>
        <v>0</v>
      </c>
    </row>
    <row r="37" spans="1:10" x14ac:dyDescent="0.2">
      <c r="A37" s="46" t="s">
        <v>142</v>
      </c>
      <c r="B37" s="47"/>
      <c r="C37" s="156">
        <v>0</v>
      </c>
      <c r="D37" s="48">
        <f>C37*D$6</f>
        <v>0</v>
      </c>
      <c r="E37" s="48">
        <v>0</v>
      </c>
      <c r="F37" s="48">
        <f>D37+E37</f>
        <v>0</v>
      </c>
      <c r="G37" s="50"/>
      <c r="H37" s="50"/>
      <c r="I37" s="70"/>
      <c r="J37" s="71">
        <f t="shared" si="3"/>
        <v>0</v>
      </c>
    </row>
    <row r="38" spans="1:10" x14ac:dyDescent="0.2">
      <c r="A38" s="46" t="s">
        <v>143</v>
      </c>
      <c r="B38" s="76"/>
      <c r="C38" s="156">
        <v>12700.38</v>
      </c>
      <c r="D38" s="48">
        <f>C38*D$6</f>
        <v>79108.279348559983</v>
      </c>
      <c r="E38" s="66">
        <v>0</v>
      </c>
      <c r="F38" s="48">
        <f>D38+E38</f>
        <v>79108.279348559983</v>
      </c>
      <c r="G38" s="50"/>
      <c r="H38" s="50"/>
      <c r="I38" s="70"/>
      <c r="J38" s="71">
        <f t="shared" si="3"/>
        <v>0</v>
      </c>
    </row>
    <row r="39" spans="1:10" x14ac:dyDescent="0.2">
      <c r="A39" s="46" t="s">
        <v>144</v>
      </c>
      <c r="B39" s="47"/>
      <c r="C39" s="77">
        <v>-12082.63</v>
      </c>
      <c r="D39" s="77">
        <f>C39*D$6</f>
        <v>-75260.430735559989</v>
      </c>
      <c r="E39" s="77">
        <v>0</v>
      </c>
      <c r="F39" s="77">
        <f>D39+E39</f>
        <v>-75260.430735559989</v>
      </c>
      <c r="G39" s="50"/>
      <c r="H39" s="50"/>
      <c r="I39" s="70"/>
      <c r="J39" s="71">
        <f t="shared" si="3"/>
        <v>0</v>
      </c>
    </row>
    <row r="40" spans="1:10" x14ac:dyDescent="0.2">
      <c r="A40" s="78" t="s">
        <v>145</v>
      </c>
      <c r="B40" s="61"/>
      <c r="C40" s="74" t="s">
        <v>99</v>
      </c>
      <c r="D40" s="74" t="s">
        <v>99</v>
      </c>
      <c r="E40" s="74"/>
      <c r="F40" s="74" t="s">
        <v>99</v>
      </c>
      <c r="G40" s="50"/>
      <c r="H40" s="50"/>
      <c r="I40" s="70"/>
      <c r="J40" s="71">
        <f t="shared" si="3"/>
        <v>0</v>
      </c>
    </row>
    <row r="41" spans="1:10" x14ac:dyDescent="0.2">
      <c r="A41" s="79" t="s">
        <v>146</v>
      </c>
      <c r="B41" s="80"/>
      <c r="C41" s="48">
        <v>12700.38</v>
      </c>
      <c r="D41" s="48">
        <f>C41*D$6</f>
        <v>79108.279348559983</v>
      </c>
      <c r="E41" s="81">
        <v>0</v>
      </c>
      <c r="F41" s="81">
        <f>D41+E41</f>
        <v>79108.279348559983</v>
      </c>
      <c r="G41" s="50"/>
      <c r="H41" s="152"/>
      <c r="I41" s="63"/>
      <c r="J41" s="63"/>
    </row>
    <row r="42" spans="1:10" x14ac:dyDescent="0.2">
      <c r="A42" s="79" t="s">
        <v>147</v>
      </c>
      <c r="B42" s="80"/>
      <c r="C42" s="56">
        <v>8716.73</v>
      </c>
      <c r="D42" s="48">
        <f>C42*D6</f>
        <v>54294.872424759997</v>
      </c>
      <c r="E42" s="82">
        <v>0</v>
      </c>
      <c r="F42" s="81">
        <f>D42+E42</f>
        <v>54294.872424759997</v>
      </c>
      <c r="G42" s="50"/>
      <c r="H42" s="50"/>
      <c r="I42" s="70"/>
      <c r="J42" s="71"/>
    </row>
    <row r="43" spans="1:10" x14ac:dyDescent="0.2">
      <c r="A43" s="83" t="s">
        <v>148</v>
      </c>
      <c r="B43" s="84"/>
      <c r="C43" s="53">
        <v>17239.46</v>
      </c>
      <c r="D43" s="48">
        <f>(C22*D6)*1.16</f>
        <v>107381.330406272</v>
      </c>
      <c r="E43" s="85">
        <v>0</v>
      </c>
      <c r="F43" s="81">
        <f>D43+E43</f>
        <v>107381.330406272</v>
      </c>
      <c r="G43" s="50"/>
      <c r="H43" s="50"/>
      <c r="I43" s="70"/>
      <c r="J43" s="71"/>
    </row>
    <row r="44" spans="1:10" x14ac:dyDescent="0.2">
      <c r="A44" s="86" t="s">
        <v>133</v>
      </c>
      <c r="B44" s="87"/>
      <c r="C44" s="82">
        <v>0</v>
      </c>
      <c r="D44" s="81">
        <f>C44*D$6</f>
        <v>0</v>
      </c>
      <c r="E44" s="82">
        <v>0</v>
      </c>
      <c r="F44" s="81">
        <f>E44*F$6</f>
        <v>0</v>
      </c>
      <c r="G44" s="50"/>
      <c r="H44" s="136"/>
      <c r="I44" s="70"/>
      <c r="J44" s="71"/>
    </row>
    <row r="45" spans="1:10" x14ac:dyDescent="0.2">
      <c r="A45" s="86" t="s">
        <v>134</v>
      </c>
      <c r="B45" s="87"/>
      <c r="C45" s="82">
        <v>0</v>
      </c>
      <c r="D45" s="81">
        <f>C45*D$6</f>
        <v>0</v>
      </c>
      <c r="E45" s="82">
        <v>0</v>
      </c>
      <c r="F45" s="81">
        <f>E45*F$6</f>
        <v>0</v>
      </c>
      <c r="G45" s="50"/>
      <c r="H45" s="50"/>
      <c r="I45" s="70"/>
      <c r="J45" s="71"/>
    </row>
    <row r="46" spans="1:10" ht="15" x14ac:dyDescent="0.25">
      <c r="A46" s="86" t="s">
        <v>135</v>
      </c>
      <c r="B46" s="87"/>
      <c r="C46" s="82">
        <v>0</v>
      </c>
      <c r="D46" s="81">
        <f>C46*D$6</f>
        <v>0</v>
      </c>
      <c r="E46" s="82">
        <v>0</v>
      </c>
      <c r="F46" s="81">
        <f>E46*F$6</f>
        <v>0</v>
      </c>
      <c r="G46" s="50"/>
      <c r="H46" s="1052"/>
      <c r="I46" s="1052"/>
      <c r="J46" s="71"/>
    </row>
    <row r="47" spans="1:10" x14ac:dyDescent="0.2">
      <c r="A47" s="79" t="s">
        <v>149</v>
      </c>
      <c r="B47" s="80"/>
      <c r="C47" s="82">
        <v>77240.38</v>
      </c>
      <c r="D47" s="81">
        <f>C47*D$6</f>
        <v>481115.80582855997</v>
      </c>
      <c r="E47" s="82">
        <v>0</v>
      </c>
      <c r="F47" s="81">
        <f>+D47+E47</f>
        <v>481115.80582855997</v>
      </c>
      <c r="G47" s="50"/>
      <c r="H47" s="88"/>
      <c r="I47" s="89"/>
      <c r="J47" s="71"/>
    </row>
    <row r="48" spans="1:10" ht="15" customHeight="1" x14ac:dyDescent="0.2">
      <c r="A48" s="64" t="s">
        <v>150</v>
      </c>
      <c r="B48" s="65"/>
      <c r="C48" s="56">
        <v>11621.98</v>
      </c>
      <c r="D48" s="48">
        <f>C48*D6</f>
        <v>72391.128487759997</v>
      </c>
      <c r="E48" s="56">
        <v>0</v>
      </c>
      <c r="F48" s="48">
        <f>D48+E48</f>
        <v>72391.128487759997</v>
      </c>
      <c r="G48" s="50"/>
      <c r="H48" s="1044"/>
      <c r="I48" s="1053"/>
      <c r="J48" s="71"/>
    </row>
    <row r="49" spans="1:11" ht="15" customHeight="1" x14ac:dyDescent="0.2">
      <c r="A49" s="67" t="s">
        <v>151</v>
      </c>
      <c r="B49" s="68"/>
      <c r="C49" s="59">
        <f>SUM(C41:C48)</f>
        <v>127518.93000000001</v>
      </c>
      <c r="D49" s="59">
        <f>SUM(D41:D48)</f>
        <v>794291.41649591189</v>
      </c>
      <c r="E49" s="59">
        <v>0</v>
      </c>
      <c r="F49" s="59">
        <f>SUM(F41:F48)</f>
        <v>794291.41649591189</v>
      </c>
      <c r="G49" s="50"/>
      <c r="H49" s="1044"/>
      <c r="I49" s="1053"/>
      <c r="J49" s="71"/>
    </row>
    <row r="50" spans="1:11" ht="15" customHeight="1" x14ac:dyDescent="0.2">
      <c r="A50" s="78" t="s">
        <v>152</v>
      </c>
      <c r="B50" s="61"/>
      <c r="C50" s="74" t="s">
        <v>99</v>
      </c>
      <c r="D50" s="74" t="s">
        <v>99</v>
      </c>
      <c r="E50" s="74"/>
      <c r="F50" s="74" t="s">
        <v>99</v>
      </c>
      <c r="G50" s="50"/>
      <c r="H50" s="1044"/>
      <c r="I50" s="1053"/>
      <c r="J50" s="71"/>
    </row>
    <row r="51" spans="1:11" x14ac:dyDescent="0.2">
      <c r="A51" s="46" t="s">
        <v>153</v>
      </c>
      <c r="B51" s="47"/>
      <c r="C51" s="53">
        <f>+C25</f>
        <v>10795.63</v>
      </c>
      <c r="D51" s="56">
        <f>+D25</f>
        <v>67243.949691559988</v>
      </c>
      <c r="E51" s="53">
        <v>0</v>
      </c>
      <c r="F51" s="56">
        <f>+F25</f>
        <v>67243.949691559988</v>
      </c>
      <c r="G51" s="50"/>
      <c r="H51" s="1044"/>
      <c r="I51" s="1053"/>
      <c r="J51" s="63"/>
    </row>
    <row r="52" spans="1:11" ht="15" customHeight="1" x14ac:dyDescent="0.2">
      <c r="A52" s="46" t="s">
        <v>147</v>
      </c>
      <c r="B52" s="47"/>
      <c r="C52" s="56">
        <f>+C42</f>
        <v>8716.73</v>
      </c>
      <c r="D52" s="56">
        <f>+D42</f>
        <v>54294.872424759997</v>
      </c>
      <c r="E52" s="56">
        <v>0</v>
      </c>
      <c r="F52" s="56">
        <f>+F42</f>
        <v>54294.872424759997</v>
      </c>
      <c r="G52" s="50"/>
      <c r="H52" s="1044"/>
      <c r="I52" s="1045"/>
    </row>
    <row r="53" spans="1:11" ht="15" customHeight="1" x14ac:dyDescent="0.2">
      <c r="A53" s="67" t="s">
        <v>154</v>
      </c>
      <c r="B53" s="68"/>
      <c r="C53" s="59">
        <f>+C51-C52</f>
        <v>2078.8999999999996</v>
      </c>
      <c r="D53" s="59">
        <f>+D51-D52</f>
        <v>12949.077266799992</v>
      </c>
      <c r="E53" s="59">
        <v>0</v>
      </c>
      <c r="F53" s="59">
        <f>+F51-F52</f>
        <v>12949.077266799992</v>
      </c>
      <c r="G53" s="50"/>
      <c r="H53" s="1044"/>
      <c r="I53" s="1045"/>
      <c r="J53" s="71"/>
    </row>
    <row r="54" spans="1:11" ht="12" customHeight="1" x14ac:dyDescent="0.25">
      <c r="A54" s="60" t="s">
        <v>155</v>
      </c>
      <c r="B54" s="61"/>
      <c r="C54" s="74" t="s">
        <v>99</v>
      </c>
      <c r="D54" s="74" t="s">
        <v>99</v>
      </c>
      <c r="E54" s="74"/>
      <c r="F54" s="74" t="s">
        <v>99</v>
      </c>
      <c r="G54" s="50"/>
      <c r="H54" s="1044"/>
      <c r="I54" s="1045"/>
      <c r="J54" s="71"/>
      <c r="K54" s="91"/>
    </row>
    <row r="55" spans="1:11" ht="12.75" customHeight="1" x14ac:dyDescent="0.25">
      <c r="A55" s="46" t="s">
        <v>115</v>
      </c>
      <c r="B55" s="47"/>
      <c r="C55" s="56">
        <v>167128.65000000002</v>
      </c>
      <c r="D55" s="56">
        <f>+D33</f>
        <v>1041012.9406637998</v>
      </c>
      <c r="E55" s="56">
        <v>0</v>
      </c>
      <c r="F55" s="56">
        <f>+F33</f>
        <v>1041012.9406637998</v>
      </c>
      <c r="G55" s="50"/>
      <c r="H55" s="1046"/>
      <c r="I55" s="1047"/>
      <c r="J55" s="90"/>
      <c r="K55" s="91"/>
    </row>
    <row r="56" spans="1:11" ht="12.75" customHeight="1" x14ac:dyDescent="0.25">
      <c r="A56" s="46" t="s">
        <v>156</v>
      </c>
      <c r="B56" s="47"/>
      <c r="C56" s="56">
        <v>127518.93000000001</v>
      </c>
      <c r="D56" s="56">
        <f>+D49</f>
        <v>794291.41649591189</v>
      </c>
      <c r="E56" s="56">
        <v>0</v>
      </c>
      <c r="F56" s="56">
        <f>+F49</f>
        <v>794291.41649591189</v>
      </c>
      <c r="G56" s="50"/>
      <c r="H56" s="1046"/>
      <c r="I56" s="1047"/>
      <c r="J56" s="90"/>
      <c r="K56" s="91"/>
    </row>
    <row r="57" spans="1:11" ht="12.75" customHeight="1" x14ac:dyDescent="0.25">
      <c r="A57" s="46" t="s">
        <v>136</v>
      </c>
      <c r="B57" s="47"/>
      <c r="C57" s="48">
        <v>82489.03</v>
      </c>
      <c r="D57" s="56">
        <f>C57*$D$6</f>
        <v>513808.65993235994</v>
      </c>
      <c r="E57" s="48">
        <v>0</v>
      </c>
      <c r="F57" s="48">
        <f>D57+E57</f>
        <v>513808.65993235994</v>
      </c>
      <c r="G57" s="50"/>
      <c r="H57" s="108"/>
      <c r="I57" s="92"/>
      <c r="J57" s="90"/>
      <c r="K57" s="130"/>
    </row>
    <row r="58" spans="1:11" ht="12.75" customHeight="1" x14ac:dyDescent="0.2">
      <c r="A58" s="46" t="s">
        <v>132</v>
      </c>
      <c r="B58" s="47"/>
      <c r="C58" s="53">
        <v>0</v>
      </c>
      <c r="D58" s="56">
        <f>C58*$D$6</f>
        <v>0</v>
      </c>
      <c r="E58" s="56">
        <v>0</v>
      </c>
      <c r="F58" s="48">
        <f>D58+E58</f>
        <v>0</v>
      </c>
      <c r="G58" s="50"/>
      <c r="H58" s="93"/>
      <c r="I58" s="93"/>
      <c r="J58" s="130"/>
      <c r="K58" s="130"/>
    </row>
    <row r="59" spans="1:11" ht="12.75" customHeight="1" x14ac:dyDescent="0.2">
      <c r="A59" s="46" t="s">
        <v>204</v>
      </c>
      <c r="B59" s="47"/>
      <c r="C59" s="56">
        <v>88972.08</v>
      </c>
      <c r="D59" s="56">
        <f>D32</f>
        <v>554190.35956895992</v>
      </c>
      <c r="E59" s="56">
        <v>0</v>
      </c>
      <c r="F59" s="56">
        <f>F32</f>
        <v>554190.35956895992</v>
      </c>
      <c r="G59" s="50"/>
      <c r="H59" s="94"/>
      <c r="I59" s="95"/>
      <c r="J59" s="130"/>
      <c r="K59" s="130"/>
    </row>
    <row r="60" spans="1:11" ht="25.5" customHeight="1" x14ac:dyDescent="0.2">
      <c r="A60" s="1058" t="s">
        <v>157</v>
      </c>
      <c r="B60" s="1059"/>
      <c r="C60" s="134">
        <f>C55-C56-C57-C58+C59</f>
        <v>46092.770000000019</v>
      </c>
      <c r="D60" s="134">
        <f>D55-D56-D57-D58+D59</f>
        <v>287103.22380448785</v>
      </c>
      <c r="E60" s="134">
        <v>0</v>
      </c>
      <c r="F60" s="134">
        <f>F55-F56-F57-F58+F59</f>
        <v>287103.22380448785</v>
      </c>
      <c r="G60" s="50"/>
      <c r="H60" s="94"/>
      <c r="I60" s="95"/>
      <c r="J60" s="130"/>
      <c r="K60" s="130"/>
    </row>
    <row r="61" spans="1:11" ht="12.75" x14ac:dyDescent="0.2">
      <c r="A61" s="129" t="s">
        <v>196</v>
      </c>
      <c r="B61" s="133"/>
      <c r="C61" s="56">
        <v>291341.01</v>
      </c>
      <c r="D61" s="48">
        <f>C61*6.245026</f>
        <v>1819432.1823162602</v>
      </c>
      <c r="E61" s="56"/>
      <c r="F61" s="56">
        <f>+C61*6.245026</f>
        <v>1819432.1823162602</v>
      </c>
      <c r="G61" s="50"/>
      <c r="H61" s="94"/>
      <c r="I61" s="95"/>
      <c r="J61" s="130"/>
      <c r="K61" s="130"/>
    </row>
    <row r="62" spans="1:11" ht="12.75" x14ac:dyDescent="0.2">
      <c r="A62" s="135" t="s">
        <v>197</v>
      </c>
      <c r="B62" s="132"/>
      <c r="C62" s="134">
        <f>+C60+C61</f>
        <v>337433.78</v>
      </c>
      <c r="D62" s="134">
        <f>+D60+D61</f>
        <v>2106535.4061207483</v>
      </c>
      <c r="E62" s="134"/>
      <c r="F62" s="134">
        <f>F60+F61</f>
        <v>2106535.4061207483</v>
      </c>
      <c r="G62" s="50"/>
      <c r="H62" s="94"/>
      <c r="I62" s="95"/>
      <c r="J62" s="130"/>
      <c r="K62" s="130"/>
    </row>
    <row r="63" spans="1:11" ht="36" x14ac:dyDescent="0.2">
      <c r="A63" s="96" t="s">
        <v>158</v>
      </c>
      <c r="B63" s="96" t="s">
        <v>159</v>
      </c>
      <c r="C63" s="96" t="s">
        <v>160</v>
      </c>
      <c r="D63" s="96" t="s">
        <v>161</v>
      </c>
      <c r="E63" s="97" t="s">
        <v>162</v>
      </c>
      <c r="F63" s="97" t="s">
        <v>163</v>
      </c>
      <c r="G63" s="50"/>
      <c r="H63" s="94"/>
      <c r="I63" s="95"/>
      <c r="J63" s="130"/>
    </row>
    <row r="64" spans="1:11" ht="12.75" x14ac:dyDescent="0.2">
      <c r="A64" s="47" t="s">
        <v>164</v>
      </c>
      <c r="B64" s="142">
        <v>119</v>
      </c>
      <c r="C64" s="143">
        <f t="shared" ref="C64:C71" si="4">B64/B$72</f>
        <v>0.3352112676056338</v>
      </c>
      <c r="D64" s="99">
        <v>6547255.9699999997</v>
      </c>
      <c r="E64" s="99">
        <v>6489454.4400000004</v>
      </c>
      <c r="F64" s="147">
        <f t="shared" ref="F64:F71" si="5">E64/E$72</f>
        <v>0.25507285965560789</v>
      </c>
      <c r="G64" s="50"/>
      <c r="H64" s="94"/>
      <c r="I64" s="95"/>
    </row>
    <row r="65" spans="1:11" ht="15" x14ac:dyDescent="0.25">
      <c r="A65" s="47" t="s">
        <v>165</v>
      </c>
      <c r="B65" s="144">
        <v>21</v>
      </c>
      <c r="C65" s="143">
        <f t="shared" si="4"/>
        <v>5.9154929577464786E-2</v>
      </c>
      <c r="D65" s="99">
        <v>1187403.25</v>
      </c>
      <c r="E65" s="99">
        <v>1181726.67</v>
      </c>
      <c r="F65" s="147">
        <f t="shared" si="5"/>
        <v>4.6448650473644257E-2</v>
      </c>
      <c r="G65" s="50"/>
      <c r="K65" s="91"/>
    </row>
    <row r="66" spans="1:11" ht="15" x14ac:dyDescent="0.25">
      <c r="A66" s="47" t="s">
        <v>166</v>
      </c>
      <c r="B66" s="142">
        <v>22</v>
      </c>
      <c r="C66" s="143">
        <f t="shared" si="4"/>
        <v>6.1971830985915494E-2</v>
      </c>
      <c r="D66" s="99">
        <v>1313995.8899999999</v>
      </c>
      <c r="E66" s="99">
        <v>1311174.05</v>
      </c>
      <c r="F66" s="147">
        <f t="shared" si="5"/>
        <v>5.1536676546838509E-2</v>
      </c>
      <c r="G66" s="50"/>
      <c r="H66" s="101"/>
      <c r="I66" s="102"/>
      <c r="J66" s="90"/>
      <c r="K66" s="91"/>
    </row>
    <row r="67" spans="1:11" ht="15" x14ac:dyDescent="0.25">
      <c r="A67" s="47" t="s">
        <v>167</v>
      </c>
      <c r="B67" s="142">
        <v>0</v>
      </c>
      <c r="C67" s="143">
        <f t="shared" si="4"/>
        <v>0</v>
      </c>
      <c r="D67" s="99">
        <v>0</v>
      </c>
      <c r="E67" s="99">
        <v>0</v>
      </c>
      <c r="F67" s="147">
        <f t="shared" si="5"/>
        <v>0</v>
      </c>
      <c r="G67" s="50"/>
      <c r="H67" s="91"/>
      <c r="I67" s="103"/>
      <c r="J67" s="104"/>
    </row>
    <row r="68" spans="1:11" ht="15" x14ac:dyDescent="0.25">
      <c r="A68" s="47" t="s">
        <v>168</v>
      </c>
      <c r="B68" s="144">
        <v>9</v>
      </c>
      <c r="C68" s="143">
        <f t="shared" si="4"/>
        <v>2.5352112676056339E-2</v>
      </c>
      <c r="D68" s="99">
        <v>590005.42000000004</v>
      </c>
      <c r="E68" s="99">
        <v>588380.6</v>
      </c>
      <c r="F68" s="147">
        <f t="shared" si="5"/>
        <v>2.3126739481028294E-2</v>
      </c>
      <c r="G68" s="50"/>
      <c r="H68" s="101"/>
      <c r="I68" s="104"/>
      <c r="K68" s="91"/>
    </row>
    <row r="69" spans="1:11" ht="13.5" customHeight="1" x14ac:dyDescent="0.25">
      <c r="A69" s="47" t="s">
        <v>169</v>
      </c>
      <c r="B69" s="144">
        <v>4</v>
      </c>
      <c r="C69" s="143">
        <f t="shared" si="4"/>
        <v>1.1267605633802818E-2</v>
      </c>
      <c r="D69" s="99">
        <v>289732.34000000003</v>
      </c>
      <c r="E69" s="99">
        <v>289732.34000000003</v>
      </c>
      <c r="F69" s="147">
        <f t="shared" si="5"/>
        <v>1.1388146288998506E-2</v>
      </c>
      <c r="G69" s="50"/>
      <c r="H69" s="105"/>
      <c r="I69" s="106"/>
      <c r="J69" s="90"/>
    </row>
    <row r="70" spans="1:11" ht="14.25" customHeight="1" x14ac:dyDescent="0.2">
      <c r="A70" s="47" t="s">
        <v>170</v>
      </c>
      <c r="B70" s="144">
        <v>2</v>
      </c>
      <c r="C70" s="143">
        <f t="shared" si="4"/>
        <v>5.6338028169014088E-3</v>
      </c>
      <c r="D70" s="99">
        <v>103647</v>
      </c>
      <c r="E70" s="99">
        <v>103647</v>
      </c>
      <c r="F70" s="147">
        <f t="shared" si="5"/>
        <v>4.0739228434624455E-3</v>
      </c>
      <c r="G70" s="50"/>
    </row>
    <row r="71" spans="1:11" ht="16.5" customHeight="1" x14ac:dyDescent="0.2">
      <c r="A71" s="47" t="s">
        <v>171</v>
      </c>
      <c r="B71" s="144">
        <v>178</v>
      </c>
      <c r="C71" s="143">
        <f t="shared" si="4"/>
        <v>0.50140845070422535</v>
      </c>
      <c r="D71" s="99">
        <v>15574923.65</v>
      </c>
      <c r="E71" s="99">
        <v>15477456.57</v>
      </c>
      <c r="F71" s="147">
        <f t="shared" si="5"/>
        <v>0.60835300471042009</v>
      </c>
      <c r="G71" s="50"/>
    </row>
    <row r="72" spans="1:11" ht="16.5" customHeight="1" x14ac:dyDescent="0.2">
      <c r="A72" s="68" t="s">
        <v>101</v>
      </c>
      <c r="B72" s="145">
        <f>SUM(B64:B71)</f>
        <v>355</v>
      </c>
      <c r="C72" s="146">
        <f>SUM(C64:C71)</f>
        <v>1</v>
      </c>
      <c r="D72" s="59">
        <f>SUM(D64:D71)</f>
        <v>25606963.52</v>
      </c>
      <c r="E72" s="107">
        <f>SUM(E64:E71)</f>
        <v>25441571.670000002</v>
      </c>
      <c r="F72" s="148">
        <f>SUM(F64:F71)</f>
        <v>1</v>
      </c>
      <c r="G72" s="50"/>
    </row>
    <row r="73" spans="1:11" ht="48" x14ac:dyDescent="0.2">
      <c r="A73" s="109" t="s">
        <v>99</v>
      </c>
      <c r="B73" s="109"/>
      <c r="C73" s="109" t="s">
        <v>172</v>
      </c>
      <c r="D73" s="109" t="s">
        <v>173</v>
      </c>
      <c r="E73" s="109" t="s">
        <v>174</v>
      </c>
      <c r="F73" s="110" t="s">
        <v>175</v>
      </c>
      <c r="G73" s="110" t="s">
        <v>176</v>
      </c>
      <c r="H73" s="110" t="s">
        <v>177</v>
      </c>
    </row>
    <row r="74" spans="1:11" x14ac:dyDescent="0.2">
      <c r="A74" s="64" t="s">
        <v>178</v>
      </c>
      <c r="B74" s="111"/>
      <c r="C74" s="98">
        <f>SUM(B64:B67)</f>
        <v>162</v>
      </c>
      <c r="D74" s="98">
        <f>SUM(B68:B71)</f>
        <v>193</v>
      </c>
      <c r="E74" s="98">
        <f>SUM(B64:B70)</f>
        <v>177</v>
      </c>
      <c r="F74" s="98">
        <f>+B71</f>
        <v>178</v>
      </c>
      <c r="G74" s="98">
        <f>+B72</f>
        <v>355</v>
      </c>
      <c r="H74" s="154">
        <v>21</v>
      </c>
      <c r="I74" s="45"/>
    </row>
    <row r="75" spans="1:11" x14ac:dyDescent="0.2">
      <c r="A75" s="46" t="s">
        <v>179</v>
      </c>
      <c r="B75" s="47"/>
      <c r="C75" s="99">
        <f>SUM(E64:E67)</f>
        <v>8982355.1600000001</v>
      </c>
      <c r="D75" s="99">
        <f>SUM(E68:E71)</f>
        <v>16459216.51</v>
      </c>
      <c r="E75" s="99">
        <f>SUM(E64:E70)</f>
        <v>9964115.0999999996</v>
      </c>
      <c r="F75" s="99">
        <f>+E71</f>
        <v>15477456.57</v>
      </c>
      <c r="G75" s="99">
        <f>+E72</f>
        <v>25441571.670000002</v>
      </c>
      <c r="H75" s="155">
        <v>1769876.56</v>
      </c>
      <c r="I75" s="114"/>
    </row>
    <row r="76" spans="1:11" x14ac:dyDescent="0.2">
      <c r="A76" s="46" t="s">
        <v>180</v>
      </c>
      <c r="B76" s="47"/>
      <c r="C76" s="113">
        <f>SUM(F64:F67)</f>
        <v>0.35305818667609068</v>
      </c>
      <c r="D76" s="113">
        <f>SUM(F68:F71)</f>
        <v>0.64694181332390932</v>
      </c>
      <c r="E76" s="113">
        <f>SUM(F64:F70)</f>
        <v>0.39164699528957986</v>
      </c>
      <c r="F76" s="113">
        <f>+F71</f>
        <v>0.60835300471042009</v>
      </c>
      <c r="G76" s="100">
        <f>+F72</f>
        <v>1</v>
      </c>
      <c r="H76" s="112" t="s">
        <v>99</v>
      </c>
    </row>
    <row r="77" spans="1:11" x14ac:dyDescent="0.2">
      <c r="A77" s="46" t="s">
        <v>181</v>
      </c>
      <c r="B77" s="76"/>
      <c r="C77" s="99">
        <v>20209.68</v>
      </c>
      <c r="D77" s="99">
        <v>9723278.6699999999</v>
      </c>
      <c r="E77" s="99">
        <v>55262.44</v>
      </c>
      <c r="F77" s="115">
        <v>9688225.9100000001</v>
      </c>
      <c r="G77" s="45">
        <v>9743488.3499999996</v>
      </c>
      <c r="H77" s="116" t="s">
        <v>99</v>
      </c>
      <c r="I77" s="114"/>
      <c r="K77" s="114"/>
    </row>
    <row r="78" spans="1:11" x14ac:dyDescent="0.2">
      <c r="A78" s="46" t="s">
        <v>182</v>
      </c>
      <c r="B78" s="47"/>
      <c r="C78" s="99">
        <v>82489.03</v>
      </c>
      <c r="D78" s="56">
        <v>0</v>
      </c>
      <c r="E78" s="99">
        <v>82489.03</v>
      </c>
      <c r="F78" s="117">
        <v>0</v>
      </c>
      <c r="G78" s="99">
        <v>82489.03</v>
      </c>
      <c r="H78" s="116" t="s">
        <v>99</v>
      </c>
    </row>
    <row r="79" spans="1:11" x14ac:dyDescent="0.2">
      <c r="A79" s="1050" t="s">
        <v>183</v>
      </c>
      <c r="B79" s="1051"/>
      <c r="C79" s="99">
        <v>7529.09</v>
      </c>
      <c r="D79" s="99">
        <v>3431910.68</v>
      </c>
      <c r="E79" s="45">
        <v>22249.84</v>
      </c>
      <c r="F79" s="45">
        <v>3417189.93</v>
      </c>
      <c r="G79" s="45">
        <v>3439439.77</v>
      </c>
      <c r="H79" s="116" t="s">
        <v>99</v>
      </c>
    </row>
    <row r="80" spans="1:11" ht="24" x14ac:dyDescent="0.2">
      <c r="A80" s="118" t="s">
        <v>99</v>
      </c>
      <c r="B80" s="118"/>
      <c r="C80" s="118" t="s">
        <v>99</v>
      </c>
      <c r="D80" s="78" t="s">
        <v>184</v>
      </c>
      <c r="E80" s="78" t="s">
        <v>185</v>
      </c>
      <c r="F80" s="119" t="s">
        <v>99</v>
      </c>
      <c r="G80" s="119" t="s">
        <v>99</v>
      </c>
      <c r="H80" s="119" t="s">
        <v>99</v>
      </c>
    </row>
    <row r="81" spans="1:10" x14ac:dyDescent="0.2">
      <c r="A81" s="47" t="s">
        <v>186</v>
      </c>
      <c r="B81" s="47"/>
      <c r="C81" s="47" t="s">
        <v>99</v>
      </c>
      <c r="D81" s="98">
        <v>139</v>
      </c>
      <c r="E81" s="99">
        <v>12275610.32</v>
      </c>
      <c r="F81" s="116" t="s">
        <v>99</v>
      </c>
      <c r="G81" s="116" t="s">
        <v>99</v>
      </c>
      <c r="H81" s="116" t="s">
        <v>99</v>
      </c>
    </row>
    <row r="82" spans="1:10" x14ac:dyDescent="0.2">
      <c r="A82" s="118" t="s">
        <v>99</v>
      </c>
      <c r="B82" s="118"/>
      <c r="C82" s="118" t="s">
        <v>99</v>
      </c>
      <c r="D82" s="78" t="s">
        <v>184</v>
      </c>
      <c r="E82" s="78" t="s">
        <v>202</v>
      </c>
      <c r="F82" s="119" t="s">
        <v>99</v>
      </c>
      <c r="G82" s="119" t="s">
        <v>99</v>
      </c>
      <c r="H82" s="119" t="s">
        <v>99</v>
      </c>
    </row>
    <row r="83" spans="1:10" x14ac:dyDescent="0.2">
      <c r="A83" s="46" t="s">
        <v>187</v>
      </c>
      <c r="B83" s="120"/>
      <c r="C83" s="65" t="s">
        <v>99</v>
      </c>
      <c r="D83" s="142">
        <v>356</v>
      </c>
      <c r="E83" s="99">
        <v>25606963.52</v>
      </c>
      <c r="F83" s="121"/>
      <c r="G83" s="122"/>
      <c r="H83" s="116" t="s">
        <v>99</v>
      </c>
    </row>
    <row r="84" spans="1:10" x14ac:dyDescent="0.2">
      <c r="A84" s="46" t="s">
        <v>188</v>
      </c>
      <c r="B84" s="120"/>
      <c r="C84" s="65" t="s">
        <v>99</v>
      </c>
      <c r="D84" s="142">
        <v>0</v>
      </c>
      <c r="E84" s="99">
        <v>0</v>
      </c>
      <c r="F84" s="121"/>
      <c r="G84" s="122"/>
      <c r="H84" s="116" t="s">
        <v>99</v>
      </c>
      <c r="I84" s="108"/>
    </row>
    <row r="85" spans="1:10" x14ac:dyDescent="0.2">
      <c r="A85" s="46" t="s">
        <v>177</v>
      </c>
      <c r="B85" s="123"/>
      <c r="C85" s="65" t="s">
        <v>99</v>
      </c>
      <c r="D85" s="144">
        <v>1</v>
      </c>
      <c r="E85" s="56">
        <v>96821.96</v>
      </c>
      <c r="F85" s="121"/>
      <c r="G85" s="122"/>
      <c r="H85" s="116" t="s">
        <v>99</v>
      </c>
      <c r="J85" s="108"/>
    </row>
    <row r="86" spans="1:10" x14ac:dyDescent="0.2">
      <c r="A86" s="46" t="s">
        <v>189</v>
      </c>
      <c r="B86" s="120"/>
      <c r="C86" s="65" t="s">
        <v>99</v>
      </c>
      <c r="D86" s="144" t="s">
        <v>201</v>
      </c>
      <c r="E86" s="153" t="s">
        <v>201</v>
      </c>
      <c r="F86" s="121"/>
      <c r="G86" s="122"/>
      <c r="H86" s="116" t="s">
        <v>99</v>
      </c>
    </row>
    <row r="87" spans="1:10" x14ac:dyDescent="0.2">
      <c r="A87" s="1055" t="s">
        <v>190</v>
      </c>
      <c r="B87" s="1056"/>
      <c r="C87" s="1057"/>
      <c r="D87" s="149" t="s">
        <v>201</v>
      </c>
      <c r="E87" s="153" t="s">
        <v>201</v>
      </c>
      <c r="F87" s="121"/>
      <c r="G87" s="122"/>
      <c r="H87" s="116" t="s">
        <v>99</v>
      </c>
    </row>
    <row r="88" spans="1:10" x14ac:dyDescent="0.2">
      <c r="A88" s="46" t="s">
        <v>191</v>
      </c>
      <c r="B88" s="120"/>
      <c r="C88" s="124"/>
      <c r="D88" s="142">
        <f>+D83-D84-D87+D86-D85</f>
        <v>355</v>
      </c>
      <c r="E88" s="56">
        <f>+E72</f>
        <v>25441571.670000002</v>
      </c>
      <c r="F88" s="121"/>
      <c r="G88" s="122"/>
      <c r="H88" s="116" t="s">
        <v>99</v>
      </c>
    </row>
    <row r="89" spans="1:10" x14ac:dyDescent="0.2">
      <c r="A89" s="125" t="s">
        <v>99</v>
      </c>
      <c r="B89" s="125"/>
      <c r="C89" s="125" t="s">
        <v>99</v>
      </c>
      <c r="D89" s="125" t="s">
        <v>99</v>
      </c>
      <c r="E89" s="126" t="s">
        <v>192</v>
      </c>
      <c r="F89" s="127" t="s">
        <v>99</v>
      </c>
      <c r="G89" s="127" t="s">
        <v>99</v>
      </c>
      <c r="H89" s="127" t="s">
        <v>99</v>
      </c>
    </row>
    <row r="90" spans="1:10" x14ac:dyDescent="0.2">
      <c r="A90" s="46" t="s">
        <v>193</v>
      </c>
      <c r="B90" s="120"/>
      <c r="C90" s="65"/>
      <c r="D90" s="99"/>
      <c r="E90" s="99">
        <v>-8830160.6300000008</v>
      </c>
      <c r="F90" s="121" t="s">
        <v>99</v>
      </c>
      <c r="G90" s="122" t="s">
        <v>99</v>
      </c>
      <c r="H90" s="116" t="s">
        <v>99</v>
      </c>
    </row>
    <row r="91" spans="1:10" x14ac:dyDescent="0.2">
      <c r="A91" s="46" t="s">
        <v>194</v>
      </c>
      <c r="B91" s="120"/>
      <c r="C91" s="65" t="s">
        <v>99</v>
      </c>
      <c r="D91" s="99"/>
      <c r="E91" s="99">
        <f>+H75+E72</f>
        <v>27211448.23</v>
      </c>
      <c r="F91" s="121"/>
      <c r="G91" s="122" t="s">
        <v>99</v>
      </c>
      <c r="H91" s="116" t="s">
        <v>99</v>
      </c>
    </row>
    <row r="99" spans="1:8" x14ac:dyDescent="0.2">
      <c r="B99" s="128"/>
    </row>
    <row r="102" spans="1:8" x14ac:dyDescent="0.2">
      <c r="A102" s="137"/>
      <c r="B102" s="137"/>
      <c r="C102" s="137"/>
      <c r="E102" s="137"/>
      <c r="F102" s="137"/>
      <c r="G102" s="137"/>
    </row>
    <row r="103" spans="1:8" x14ac:dyDescent="0.2">
      <c r="A103" s="1054" t="s">
        <v>200</v>
      </c>
      <c r="B103" s="1054"/>
      <c r="C103" s="1054"/>
      <c r="F103" s="31" t="s">
        <v>195</v>
      </c>
      <c r="G103" s="31"/>
      <c r="H103" s="31"/>
    </row>
    <row r="104" spans="1:8" x14ac:dyDescent="0.2">
      <c r="A104" s="1054" t="s">
        <v>199</v>
      </c>
      <c r="B104" s="1054"/>
      <c r="C104" s="1054"/>
      <c r="F104" s="31" t="s">
        <v>198</v>
      </c>
      <c r="G104" s="31"/>
      <c r="H104" s="31"/>
    </row>
    <row r="105" spans="1:8" x14ac:dyDescent="0.2">
      <c r="H105" s="31"/>
    </row>
  </sheetData>
  <mergeCells count="34">
    <mergeCell ref="A104:C104"/>
    <mergeCell ref="A79:B79"/>
    <mergeCell ref="A87:C87"/>
    <mergeCell ref="A103:C103"/>
    <mergeCell ref="A60:B60"/>
    <mergeCell ref="A35:B35"/>
    <mergeCell ref="A36:B36"/>
    <mergeCell ref="H46:I46"/>
    <mergeCell ref="H48:H51"/>
    <mergeCell ref="I48:I51"/>
    <mergeCell ref="H18:I18"/>
    <mergeCell ref="H19:I19"/>
    <mergeCell ref="H52:H54"/>
    <mergeCell ref="I52:I54"/>
    <mergeCell ref="H55:H56"/>
    <mergeCell ref="I55:I56"/>
    <mergeCell ref="I26:J26"/>
    <mergeCell ref="I27:J27"/>
    <mergeCell ref="H25:I25"/>
    <mergeCell ref="H20:J20"/>
    <mergeCell ref="H21:J21"/>
    <mergeCell ref="H22:I22"/>
    <mergeCell ref="H23:I23"/>
    <mergeCell ref="H24:I24"/>
    <mergeCell ref="A1:F1"/>
    <mergeCell ref="A2:F2"/>
    <mergeCell ref="A3:F3"/>
    <mergeCell ref="C4:F4"/>
    <mergeCell ref="H4:J4"/>
    <mergeCell ref="H14:J14"/>
    <mergeCell ref="H15:I15"/>
    <mergeCell ref="H17:I17"/>
    <mergeCell ref="I5:I6"/>
    <mergeCell ref="J5:J6"/>
  </mergeCells>
  <pageMargins left="0.51181102362204722" right="0.51181102362204722" top="0.74803149606299213" bottom="0.74803149606299213" header="0.31496062992125984" footer="0.31496062992125984"/>
  <pageSetup scale="6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4454-B47D-4FA5-94FE-BD140E1E440D}">
  <sheetPr>
    <pageSetUpPr fitToPage="1"/>
  </sheetPr>
  <dimension ref="A1:O112"/>
  <sheetViews>
    <sheetView showGridLines="0" topLeftCell="B1" zoomScale="85" zoomScaleNormal="85" zoomScaleSheetLayoutView="85" workbookViewId="0">
      <selection activeCell="E107" sqref="E107"/>
    </sheetView>
  </sheetViews>
  <sheetFormatPr baseColWidth="10" defaultRowHeight="12.75" x14ac:dyDescent="0.2"/>
  <cols>
    <col min="1" max="1" width="4.5703125" style="21" customWidth="1"/>
    <col min="2" max="2" width="41.85546875" style="21" customWidth="1"/>
    <col min="3" max="3" width="13.42578125" style="21" customWidth="1"/>
    <col min="4" max="4" width="17.28515625" style="21" bestFit="1" customWidth="1"/>
    <col min="5" max="5" width="21" style="21" customWidth="1"/>
    <col min="6" max="6" width="16.42578125" style="21" customWidth="1"/>
    <col min="7" max="7" width="29.42578125" style="21" customWidth="1"/>
    <col min="8" max="8" width="13" style="21" bestFit="1" customWidth="1"/>
    <col min="9" max="9" width="14.140625" style="21" customWidth="1"/>
    <col min="10" max="10" width="15.28515625" style="16" customWidth="1"/>
    <col min="11" max="11" width="12.140625" style="21" customWidth="1"/>
    <col min="12" max="12" width="10.140625" style="21" bestFit="1" customWidth="1"/>
    <col min="13" max="13" width="11.28515625" style="21" bestFit="1" customWidth="1"/>
    <col min="14" max="253" width="9.140625" style="21" customWidth="1"/>
    <col min="254" max="254" width="4.140625" style="21" customWidth="1"/>
    <col min="255" max="255" width="43.85546875" style="21" customWidth="1"/>
    <col min="256" max="256" width="0.140625" style="21" customWidth="1"/>
    <col min="257" max="258" width="14.7109375" style="21" customWidth="1"/>
    <col min="259" max="259" width="24.5703125" style="21" customWidth="1"/>
    <col min="260" max="260" width="23.85546875" style="21" customWidth="1"/>
    <col min="261" max="261" width="0.28515625" style="21" customWidth="1"/>
    <col min="262" max="262" width="14.28515625" style="21" customWidth="1"/>
    <col min="263" max="263" width="14.5703125" style="21" customWidth="1"/>
    <col min="264" max="264" width="0.28515625" style="21" customWidth="1"/>
    <col min="265" max="265" width="4.7109375" style="21" customWidth="1"/>
    <col min="266" max="509" width="9.140625" style="21" customWidth="1"/>
    <col min="510" max="510" width="4.140625" style="21" customWidth="1"/>
    <col min="511" max="511" width="43.85546875" style="21" customWidth="1"/>
    <col min="512" max="512" width="0.140625" style="21" customWidth="1"/>
    <col min="513" max="514" width="14.7109375" style="21" customWidth="1"/>
    <col min="515" max="515" width="24.5703125" style="21" customWidth="1"/>
    <col min="516" max="516" width="23.85546875" style="21" customWidth="1"/>
    <col min="517" max="517" width="0.28515625" style="21" customWidth="1"/>
    <col min="518" max="518" width="14.28515625" style="21" customWidth="1"/>
    <col min="519" max="519" width="14.5703125" style="21" customWidth="1"/>
    <col min="520" max="520" width="0.28515625" style="21" customWidth="1"/>
    <col min="521" max="521" width="4.7109375" style="21" customWidth="1"/>
    <col min="522" max="765" width="9.140625" style="21" customWidth="1"/>
    <col min="766" max="766" width="4.140625" style="21" customWidth="1"/>
    <col min="767" max="767" width="43.85546875" style="21" customWidth="1"/>
    <col min="768" max="768" width="0.140625" style="21" customWidth="1"/>
    <col min="769" max="770" width="14.7109375" style="21" customWidth="1"/>
    <col min="771" max="771" width="24.5703125" style="21" customWidth="1"/>
    <col min="772" max="772" width="23.85546875" style="21" customWidth="1"/>
    <col min="773" max="773" width="0.28515625" style="21" customWidth="1"/>
    <col min="774" max="774" width="14.28515625" style="21" customWidth="1"/>
    <col min="775" max="775" width="14.5703125" style="21" customWidth="1"/>
    <col min="776" max="776" width="0.28515625" style="21" customWidth="1"/>
    <col min="777" max="777" width="4.7109375" style="21" customWidth="1"/>
    <col min="778" max="1021" width="9.140625" style="21" customWidth="1"/>
    <col min="1022" max="1022" width="4.140625" style="21" customWidth="1"/>
    <col min="1023" max="1023" width="43.85546875" style="21" customWidth="1"/>
    <col min="1024" max="1024" width="0.140625" style="21" customWidth="1"/>
    <col min="1025" max="1026" width="14.7109375" style="21" customWidth="1"/>
    <col min="1027" max="1027" width="24.5703125" style="21" customWidth="1"/>
    <col min="1028" max="1028" width="23.85546875" style="21" customWidth="1"/>
    <col min="1029" max="1029" width="0.28515625" style="21" customWidth="1"/>
    <col min="1030" max="1030" width="14.28515625" style="21" customWidth="1"/>
    <col min="1031" max="1031" width="14.5703125" style="21" customWidth="1"/>
    <col min="1032" max="1032" width="0.28515625" style="21" customWidth="1"/>
    <col min="1033" max="1033" width="4.7109375" style="21" customWidth="1"/>
    <col min="1034" max="1277" width="9.140625" style="21" customWidth="1"/>
    <col min="1278" max="1278" width="4.140625" style="21" customWidth="1"/>
    <col min="1279" max="1279" width="43.85546875" style="21" customWidth="1"/>
    <col min="1280" max="1280" width="0.140625" style="21" customWidth="1"/>
    <col min="1281" max="1282" width="14.7109375" style="21" customWidth="1"/>
    <col min="1283" max="1283" width="24.5703125" style="21" customWidth="1"/>
    <col min="1284" max="1284" width="23.85546875" style="21" customWidth="1"/>
    <col min="1285" max="1285" width="0.28515625" style="21" customWidth="1"/>
    <col min="1286" max="1286" width="14.28515625" style="21" customWidth="1"/>
    <col min="1287" max="1287" width="14.5703125" style="21" customWidth="1"/>
    <col min="1288" max="1288" width="0.28515625" style="21" customWidth="1"/>
    <col min="1289" max="1289" width="4.7109375" style="21" customWidth="1"/>
    <col min="1290" max="1533" width="9.140625" style="21" customWidth="1"/>
    <col min="1534" max="1534" width="4.140625" style="21" customWidth="1"/>
    <col min="1535" max="1535" width="43.85546875" style="21" customWidth="1"/>
    <col min="1536" max="1536" width="0.140625" style="21" customWidth="1"/>
    <col min="1537" max="1538" width="14.7109375" style="21" customWidth="1"/>
    <col min="1539" max="1539" width="24.5703125" style="21" customWidth="1"/>
    <col min="1540" max="1540" width="23.85546875" style="21" customWidth="1"/>
    <col min="1541" max="1541" width="0.28515625" style="21" customWidth="1"/>
    <col min="1542" max="1542" width="14.28515625" style="21" customWidth="1"/>
    <col min="1543" max="1543" width="14.5703125" style="21" customWidth="1"/>
    <col min="1544" max="1544" width="0.28515625" style="21" customWidth="1"/>
    <col min="1545" max="1545" width="4.7109375" style="21" customWidth="1"/>
    <col min="1546" max="1789" width="9.140625" style="21" customWidth="1"/>
    <col min="1790" max="1790" width="4.140625" style="21" customWidth="1"/>
    <col min="1791" max="1791" width="43.85546875" style="21" customWidth="1"/>
    <col min="1792" max="1792" width="0.140625" style="21" customWidth="1"/>
    <col min="1793" max="1794" width="14.7109375" style="21" customWidth="1"/>
    <col min="1795" max="1795" width="24.5703125" style="21" customWidth="1"/>
    <col min="1796" max="1796" width="23.85546875" style="21" customWidth="1"/>
    <col min="1797" max="1797" width="0.28515625" style="21" customWidth="1"/>
    <col min="1798" max="1798" width="14.28515625" style="21" customWidth="1"/>
    <col min="1799" max="1799" width="14.5703125" style="21" customWidth="1"/>
    <col min="1800" max="1800" width="0.28515625" style="21" customWidth="1"/>
    <col min="1801" max="1801" width="4.7109375" style="21" customWidth="1"/>
    <col min="1802" max="2045" width="9.140625" style="21" customWidth="1"/>
    <col min="2046" max="2046" width="4.140625" style="21" customWidth="1"/>
    <col min="2047" max="2047" width="43.85546875" style="21" customWidth="1"/>
    <col min="2048" max="2048" width="0.140625" style="21" customWidth="1"/>
    <col min="2049" max="2050" width="14.7109375" style="21" customWidth="1"/>
    <col min="2051" max="2051" width="24.5703125" style="21" customWidth="1"/>
    <col min="2052" max="2052" width="23.85546875" style="21" customWidth="1"/>
    <col min="2053" max="2053" width="0.28515625" style="21" customWidth="1"/>
    <col min="2054" max="2054" width="14.28515625" style="21" customWidth="1"/>
    <col min="2055" max="2055" width="14.5703125" style="21" customWidth="1"/>
    <col min="2056" max="2056" width="0.28515625" style="21" customWidth="1"/>
    <col min="2057" max="2057" width="4.7109375" style="21" customWidth="1"/>
    <col min="2058" max="2301" width="9.140625" style="21" customWidth="1"/>
    <col min="2302" max="2302" width="4.140625" style="21" customWidth="1"/>
    <col min="2303" max="2303" width="43.85546875" style="21" customWidth="1"/>
    <col min="2304" max="2304" width="0.140625" style="21" customWidth="1"/>
    <col min="2305" max="2306" width="14.7109375" style="21" customWidth="1"/>
    <col min="2307" max="2307" width="24.5703125" style="21" customWidth="1"/>
    <col min="2308" max="2308" width="23.85546875" style="21" customWidth="1"/>
    <col min="2309" max="2309" width="0.28515625" style="21" customWidth="1"/>
    <col min="2310" max="2310" width="14.28515625" style="21" customWidth="1"/>
    <col min="2311" max="2311" width="14.5703125" style="21" customWidth="1"/>
    <col min="2312" max="2312" width="0.28515625" style="21" customWidth="1"/>
    <col min="2313" max="2313" width="4.7109375" style="21" customWidth="1"/>
    <col min="2314" max="2557" width="9.140625" style="21" customWidth="1"/>
    <col min="2558" max="2558" width="4.140625" style="21" customWidth="1"/>
    <col min="2559" max="2559" width="43.85546875" style="21" customWidth="1"/>
    <col min="2560" max="2560" width="0.140625" style="21" customWidth="1"/>
    <col min="2561" max="2562" width="14.7109375" style="21" customWidth="1"/>
    <col min="2563" max="2563" width="24.5703125" style="21" customWidth="1"/>
    <col min="2564" max="2564" width="23.85546875" style="21" customWidth="1"/>
    <col min="2565" max="2565" width="0.28515625" style="21" customWidth="1"/>
    <col min="2566" max="2566" width="14.28515625" style="21" customWidth="1"/>
    <col min="2567" max="2567" width="14.5703125" style="21" customWidth="1"/>
    <col min="2568" max="2568" width="0.28515625" style="21" customWidth="1"/>
    <col min="2569" max="2569" width="4.7109375" style="21" customWidth="1"/>
    <col min="2570" max="2813" width="9.140625" style="21" customWidth="1"/>
    <col min="2814" max="2814" width="4.140625" style="21" customWidth="1"/>
    <col min="2815" max="2815" width="43.85546875" style="21" customWidth="1"/>
    <col min="2816" max="2816" width="0.140625" style="21" customWidth="1"/>
    <col min="2817" max="2818" width="14.7109375" style="21" customWidth="1"/>
    <col min="2819" max="2819" width="24.5703125" style="21" customWidth="1"/>
    <col min="2820" max="2820" width="23.85546875" style="21" customWidth="1"/>
    <col min="2821" max="2821" width="0.28515625" style="21" customWidth="1"/>
    <col min="2822" max="2822" width="14.28515625" style="21" customWidth="1"/>
    <col min="2823" max="2823" width="14.5703125" style="21" customWidth="1"/>
    <col min="2824" max="2824" width="0.28515625" style="21" customWidth="1"/>
    <col min="2825" max="2825" width="4.7109375" style="21" customWidth="1"/>
    <col min="2826" max="3069" width="9.140625" style="21" customWidth="1"/>
    <col min="3070" max="3070" width="4.140625" style="21" customWidth="1"/>
    <col min="3071" max="3071" width="43.85546875" style="21" customWidth="1"/>
    <col min="3072" max="3072" width="0.140625" style="21" customWidth="1"/>
    <col min="3073" max="3074" width="14.7109375" style="21" customWidth="1"/>
    <col min="3075" max="3075" width="24.5703125" style="21" customWidth="1"/>
    <col min="3076" max="3076" width="23.85546875" style="21" customWidth="1"/>
    <col min="3077" max="3077" width="0.28515625" style="21" customWidth="1"/>
    <col min="3078" max="3078" width="14.28515625" style="21" customWidth="1"/>
    <col min="3079" max="3079" width="14.5703125" style="21" customWidth="1"/>
    <col min="3080" max="3080" width="0.28515625" style="21" customWidth="1"/>
    <col min="3081" max="3081" width="4.7109375" style="21" customWidth="1"/>
    <col min="3082" max="3325" width="9.140625" style="21" customWidth="1"/>
    <col min="3326" max="3326" width="4.140625" style="21" customWidth="1"/>
    <col min="3327" max="3327" width="43.85546875" style="21" customWidth="1"/>
    <col min="3328" max="3328" width="0.140625" style="21" customWidth="1"/>
    <col min="3329" max="3330" width="14.7109375" style="21" customWidth="1"/>
    <col min="3331" max="3331" width="24.5703125" style="21" customWidth="1"/>
    <col min="3332" max="3332" width="23.85546875" style="21" customWidth="1"/>
    <col min="3333" max="3333" width="0.28515625" style="21" customWidth="1"/>
    <col min="3334" max="3334" width="14.28515625" style="21" customWidth="1"/>
    <col min="3335" max="3335" width="14.5703125" style="21" customWidth="1"/>
    <col min="3336" max="3336" width="0.28515625" style="21" customWidth="1"/>
    <col min="3337" max="3337" width="4.7109375" style="21" customWidth="1"/>
    <col min="3338" max="3581" width="9.140625" style="21" customWidth="1"/>
    <col min="3582" max="3582" width="4.140625" style="21" customWidth="1"/>
    <col min="3583" max="3583" width="43.85546875" style="21" customWidth="1"/>
    <col min="3584" max="3584" width="0.140625" style="21" customWidth="1"/>
    <col min="3585" max="3586" width="14.7109375" style="21" customWidth="1"/>
    <col min="3587" max="3587" width="24.5703125" style="21" customWidth="1"/>
    <col min="3588" max="3588" width="23.85546875" style="21" customWidth="1"/>
    <col min="3589" max="3589" width="0.28515625" style="21" customWidth="1"/>
    <col min="3590" max="3590" width="14.28515625" style="21" customWidth="1"/>
    <col min="3591" max="3591" width="14.5703125" style="21" customWidth="1"/>
    <col min="3592" max="3592" width="0.28515625" style="21" customWidth="1"/>
    <col min="3593" max="3593" width="4.7109375" style="21" customWidth="1"/>
    <col min="3594" max="3837" width="9.140625" style="21" customWidth="1"/>
    <col min="3838" max="3838" width="4.140625" style="21" customWidth="1"/>
    <col min="3839" max="3839" width="43.85546875" style="21" customWidth="1"/>
    <col min="3840" max="3840" width="0.140625" style="21" customWidth="1"/>
    <col min="3841" max="3842" width="14.7109375" style="21" customWidth="1"/>
    <col min="3843" max="3843" width="24.5703125" style="21" customWidth="1"/>
    <col min="3844" max="3844" width="23.85546875" style="21" customWidth="1"/>
    <col min="3845" max="3845" width="0.28515625" style="21" customWidth="1"/>
    <col min="3846" max="3846" width="14.28515625" style="21" customWidth="1"/>
    <col min="3847" max="3847" width="14.5703125" style="21" customWidth="1"/>
    <col min="3848" max="3848" width="0.28515625" style="21" customWidth="1"/>
    <col min="3849" max="3849" width="4.7109375" style="21" customWidth="1"/>
    <col min="3850" max="4093" width="9.140625" style="21" customWidth="1"/>
    <col min="4094" max="4094" width="4.140625" style="21" customWidth="1"/>
    <col min="4095" max="4095" width="43.85546875" style="21" customWidth="1"/>
    <col min="4096" max="4096" width="0.140625" style="21" customWidth="1"/>
    <col min="4097" max="4098" width="14.7109375" style="21" customWidth="1"/>
    <col min="4099" max="4099" width="24.5703125" style="21" customWidth="1"/>
    <col min="4100" max="4100" width="23.85546875" style="21" customWidth="1"/>
    <col min="4101" max="4101" width="0.28515625" style="21" customWidth="1"/>
    <col min="4102" max="4102" width="14.28515625" style="21" customWidth="1"/>
    <col min="4103" max="4103" width="14.5703125" style="21" customWidth="1"/>
    <col min="4104" max="4104" width="0.28515625" style="21" customWidth="1"/>
    <col min="4105" max="4105" width="4.7109375" style="21" customWidth="1"/>
    <col min="4106" max="4349" width="9.140625" style="21" customWidth="1"/>
    <col min="4350" max="4350" width="4.140625" style="21" customWidth="1"/>
    <col min="4351" max="4351" width="43.85546875" style="21" customWidth="1"/>
    <col min="4352" max="4352" width="0.140625" style="21" customWidth="1"/>
    <col min="4353" max="4354" width="14.7109375" style="21" customWidth="1"/>
    <col min="4355" max="4355" width="24.5703125" style="21" customWidth="1"/>
    <col min="4356" max="4356" width="23.85546875" style="21" customWidth="1"/>
    <col min="4357" max="4357" width="0.28515625" style="21" customWidth="1"/>
    <col min="4358" max="4358" width="14.28515625" style="21" customWidth="1"/>
    <col min="4359" max="4359" width="14.5703125" style="21" customWidth="1"/>
    <col min="4360" max="4360" width="0.28515625" style="21" customWidth="1"/>
    <col min="4361" max="4361" width="4.7109375" style="21" customWidth="1"/>
    <col min="4362" max="4605" width="9.140625" style="21" customWidth="1"/>
    <col min="4606" max="4606" width="4.140625" style="21" customWidth="1"/>
    <col min="4607" max="4607" width="43.85546875" style="21" customWidth="1"/>
    <col min="4608" max="4608" width="0.140625" style="21" customWidth="1"/>
    <col min="4609" max="4610" width="14.7109375" style="21" customWidth="1"/>
    <col min="4611" max="4611" width="24.5703125" style="21" customWidth="1"/>
    <col min="4612" max="4612" width="23.85546875" style="21" customWidth="1"/>
    <col min="4613" max="4613" width="0.28515625" style="21" customWidth="1"/>
    <col min="4614" max="4614" width="14.28515625" style="21" customWidth="1"/>
    <col min="4615" max="4615" width="14.5703125" style="21" customWidth="1"/>
    <col min="4616" max="4616" width="0.28515625" style="21" customWidth="1"/>
    <col min="4617" max="4617" width="4.7109375" style="21" customWidth="1"/>
    <col min="4618" max="4861" width="9.140625" style="21" customWidth="1"/>
    <col min="4862" max="4862" width="4.140625" style="21" customWidth="1"/>
    <col min="4863" max="4863" width="43.85546875" style="21" customWidth="1"/>
    <col min="4864" max="4864" width="0.140625" style="21" customWidth="1"/>
    <col min="4865" max="4866" width="14.7109375" style="21" customWidth="1"/>
    <col min="4867" max="4867" width="24.5703125" style="21" customWidth="1"/>
    <col min="4868" max="4868" width="23.85546875" style="21" customWidth="1"/>
    <col min="4869" max="4869" width="0.28515625" style="21" customWidth="1"/>
    <col min="4870" max="4870" width="14.28515625" style="21" customWidth="1"/>
    <col min="4871" max="4871" width="14.5703125" style="21" customWidth="1"/>
    <col min="4872" max="4872" width="0.28515625" style="21" customWidth="1"/>
    <col min="4873" max="4873" width="4.7109375" style="21" customWidth="1"/>
    <col min="4874" max="5117" width="9.140625" style="21" customWidth="1"/>
    <col min="5118" max="5118" width="4.140625" style="21" customWidth="1"/>
    <col min="5119" max="5119" width="43.85546875" style="21" customWidth="1"/>
    <col min="5120" max="5120" width="0.140625" style="21" customWidth="1"/>
    <col min="5121" max="5122" width="14.7109375" style="21" customWidth="1"/>
    <col min="5123" max="5123" width="24.5703125" style="21" customWidth="1"/>
    <col min="5124" max="5124" width="23.85546875" style="21" customWidth="1"/>
    <col min="5125" max="5125" width="0.28515625" style="21" customWidth="1"/>
    <col min="5126" max="5126" width="14.28515625" style="21" customWidth="1"/>
    <col min="5127" max="5127" width="14.5703125" style="21" customWidth="1"/>
    <col min="5128" max="5128" width="0.28515625" style="21" customWidth="1"/>
    <col min="5129" max="5129" width="4.7109375" style="21" customWidth="1"/>
    <col min="5130" max="5373" width="9.140625" style="21" customWidth="1"/>
    <col min="5374" max="5374" width="4.140625" style="21" customWidth="1"/>
    <col min="5375" max="5375" width="43.85546875" style="21" customWidth="1"/>
    <col min="5376" max="5376" width="0.140625" style="21" customWidth="1"/>
    <col min="5377" max="5378" width="14.7109375" style="21" customWidth="1"/>
    <col min="5379" max="5379" width="24.5703125" style="21" customWidth="1"/>
    <col min="5380" max="5380" width="23.85546875" style="21" customWidth="1"/>
    <col min="5381" max="5381" width="0.28515625" style="21" customWidth="1"/>
    <col min="5382" max="5382" width="14.28515625" style="21" customWidth="1"/>
    <col min="5383" max="5383" width="14.5703125" style="21" customWidth="1"/>
    <col min="5384" max="5384" width="0.28515625" style="21" customWidth="1"/>
    <col min="5385" max="5385" width="4.7109375" style="21" customWidth="1"/>
    <col min="5386" max="5629" width="9.140625" style="21" customWidth="1"/>
    <col min="5630" max="5630" width="4.140625" style="21" customWidth="1"/>
    <col min="5631" max="5631" width="43.85546875" style="21" customWidth="1"/>
    <col min="5632" max="5632" width="0.140625" style="21" customWidth="1"/>
    <col min="5633" max="5634" width="14.7109375" style="21" customWidth="1"/>
    <col min="5635" max="5635" width="24.5703125" style="21" customWidth="1"/>
    <col min="5636" max="5636" width="23.85546875" style="21" customWidth="1"/>
    <col min="5637" max="5637" width="0.28515625" style="21" customWidth="1"/>
    <col min="5638" max="5638" width="14.28515625" style="21" customWidth="1"/>
    <col min="5639" max="5639" width="14.5703125" style="21" customWidth="1"/>
    <col min="5640" max="5640" width="0.28515625" style="21" customWidth="1"/>
    <col min="5641" max="5641" width="4.7109375" style="21" customWidth="1"/>
    <col min="5642" max="5885" width="9.140625" style="21" customWidth="1"/>
    <col min="5886" max="5886" width="4.140625" style="21" customWidth="1"/>
    <col min="5887" max="5887" width="43.85546875" style="21" customWidth="1"/>
    <col min="5888" max="5888" width="0.140625" style="21" customWidth="1"/>
    <col min="5889" max="5890" width="14.7109375" style="21" customWidth="1"/>
    <col min="5891" max="5891" width="24.5703125" style="21" customWidth="1"/>
    <col min="5892" max="5892" width="23.85546875" style="21" customWidth="1"/>
    <col min="5893" max="5893" width="0.28515625" style="21" customWidth="1"/>
    <col min="5894" max="5894" width="14.28515625" style="21" customWidth="1"/>
    <col min="5895" max="5895" width="14.5703125" style="21" customWidth="1"/>
    <col min="5896" max="5896" width="0.28515625" style="21" customWidth="1"/>
    <col min="5897" max="5897" width="4.7109375" style="21" customWidth="1"/>
    <col min="5898" max="6141" width="9.140625" style="21" customWidth="1"/>
    <col min="6142" max="6142" width="4.140625" style="21" customWidth="1"/>
    <col min="6143" max="6143" width="43.85546875" style="21" customWidth="1"/>
    <col min="6144" max="6144" width="0.140625" style="21" customWidth="1"/>
    <col min="6145" max="6146" width="14.7109375" style="21" customWidth="1"/>
    <col min="6147" max="6147" width="24.5703125" style="21" customWidth="1"/>
    <col min="6148" max="6148" width="23.85546875" style="21" customWidth="1"/>
    <col min="6149" max="6149" width="0.28515625" style="21" customWidth="1"/>
    <col min="6150" max="6150" width="14.28515625" style="21" customWidth="1"/>
    <col min="6151" max="6151" width="14.5703125" style="21" customWidth="1"/>
    <col min="6152" max="6152" width="0.28515625" style="21" customWidth="1"/>
    <col min="6153" max="6153" width="4.7109375" style="21" customWidth="1"/>
    <col min="6154" max="6397" width="9.140625" style="21" customWidth="1"/>
    <col min="6398" max="6398" width="4.140625" style="21" customWidth="1"/>
    <col min="6399" max="6399" width="43.85546875" style="21" customWidth="1"/>
    <col min="6400" max="6400" width="0.140625" style="21" customWidth="1"/>
    <col min="6401" max="6402" width="14.7109375" style="21" customWidth="1"/>
    <col min="6403" max="6403" width="24.5703125" style="21" customWidth="1"/>
    <col min="6404" max="6404" width="23.85546875" style="21" customWidth="1"/>
    <col min="6405" max="6405" width="0.28515625" style="21" customWidth="1"/>
    <col min="6406" max="6406" width="14.28515625" style="21" customWidth="1"/>
    <col min="6407" max="6407" width="14.5703125" style="21" customWidth="1"/>
    <col min="6408" max="6408" width="0.28515625" style="21" customWidth="1"/>
    <col min="6409" max="6409" width="4.7109375" style="21" customWidth="1"/>
    <col min="6410" max="6653" width="9.140625" style="21" customWidth="1"/>
    <col min="6654" max="6654" width="4.140625" style="21" customWidth="1"/>
    <col min="6655" max="6655" width="43.85546875" style="21" customWidth="1"/>
    <col min="6656" max="6656" width="0.140625" style="21" customWidth="1"/>
    <col min="6657" max="6658" width="14.7109375" style="21" customWidth="1"/>
    <col min="6659" max="6659" width="24.5703125" style="21" customWidth="1"/>
    <col min="6660" max="6660" width="23.85546875" style="21" customWidth="1"/>
    <col min="6661" max="6661" width="0.28515625" style="21" customWidth="1"/>
    <col min="6662" max="6662" width="14.28515625" style="21" customWidth="1"/>
    <col min="6663" max="6663" width="14.5703125" style="21" customWidth="1"/>
    <col min="6664" max="6664" width="0.28515625" style="21" customWidth="1"/>
    <col min="6665" max="6665" width="4.7109375" style="21" customWidth="1"/>
    <col min="6666" max="6909" width="9.140625" style="21" customWidth="1"/>
    <col min="6910" max="6910" width="4.140625" style="21" customWidth="1"/>
    <col min="6911" max="6911" width="43.85546875" style="21" customWidth="1"/>
    <col min="6912" max="6912" width="0.140625" style="21" customWidth="1"/>
    <col min="6913" max="6914" width="14.7109375" style="21" customWidth="1"/>
    <col min="6915" max="6915" width="24.5703125" style="21" customWidth="1"/>
    <col min="6916" max="6916" width="23.85546875" style="21" customWidth="1"/>
    <col min="6917" max="6917" width="0.28515625" style="21" customWidth="1"/>
    <col min="6918" max="6918" width="14.28515625" style="21" customWidth="1"/>
    <col min="6919" max="6919" width="14.5703125" style="21" customWidth="1"/>
    <col min="6920" max="6920" width="0.28515625" style="21" customWidth="1"/>
    <col min="6921" max="6921" width="4.7109375" style="21" customWidth="1"/>
    <col min="6922" max="7165" width="9.140625" style="21" customWidth="1"/>
    <col min="7166" max="7166" width="4.140625" style="21" customWidth="1"/>
    <col min="7167" max="7167" width="43.85546875" style="21" customWidth="1"/>
    <col min="7168" max="7168" width="0.140625" style="21" customWidth="1"/>
    <col min="7169" max="7170" width="14.7109375" style="21" customWidth="1"/>
    <col min="7171" max="7171" width="24.5703125" style="21" customWidth="1"/>
    <col min="7172" max="7172" width="23.85546875" style="21" customWidth="1"/>
    <col min="7173" max="7173" width="0.28515625" style="21" customWidth="1"/>
    <col min="7174" max="7174" width="14.28515625" style="21" customWidth="1"/>
    <col min="7175" max="7175" width="14.5703125" style="21" customWidth="1"/>
    <col min="7176" max="7176" width="0.28515625" style="21" customWidth="1"/>
    <col min="7177" max="7177" width="4.7109375" style="21" customWidth="1"/>
    <col min="7178" max="7421" width="9.140625" style="21" customWidth="1"/>
    <col min="7422" max="7422" width="4.140625" style="21" customWidth="1"/>
    <col min="7423" max="7423" width="43.85546875" style="21" customWidth="1"/>
    <col min="7424" max="7424" width="0.140625" style="21" customWidth="1"/>
    <col min="7425" max="7426" width="14.7109375" style="21" customWidth="1"/>
    <col min="7427" max="7427" width="24.5703125" style="21" customWidth="1"/>
    <col min="7428" max="7428" width="23.85546875" style="21" customWidth="1"/>
    <col min="7429" max="7429" width="0.28515625" style="21" customWidth="1"/>
    <col min="7430" max="7430" width="14.28515625" style="21" customWidth="1"/>
    <col min="7431" max="7431" width="14.5703125" style="21" customWidth="1"/>
    <col min="7432" max="7432" width="0.28515625" style="21" customWidth="1"/>
    <col min="7433" max="7433" width="4.7109375" style="21" customWidth="1"/>
    <col min="7434" max="7677" width="9.140625" style="21" customWidth="1"/>
    <col min="7678" max="7678" width="4.140625" style="21" customWidth="1"/>
    <col min="7679" max="7679" width="43.85546875" style="21" customWidth="1"/>
    <col min="7680" max="7680" width="0.140625" style="21" customWidth="1"/>
    <col min="7681" max="7682" width="14.7109375" style="21" customWidth="1"/>
    <col min="7683" max="7683" width="24.5703125" style="21" customWidth="1"/>
    <col min="7684" max="7684" width="23.85546875" style="21" customWidth="1"/>
    <col min="7685" max="7685" width="0.28515625" style="21" customWidth="1"/>
    <col min="7686" max="7686" width="14.28515625" style="21" customWidth="1"/>
    <col min="7687" max="7687" width="14.5703125" style="21" customWidth="1"/>
    <col min="7688" max="7688" width="0.28515625" style="21" customWidth="1"/>
    <col min="7689" max="7689" width="4.7109375" style="21" customWidth="1"/>
    <col min="7690" max="7933" width="9.140625" style="21" customWidth="1"/>
    <col min="7934" max="7934" width="4.140625" style="21" customWidth="1"/>
    <col min="7935" max="7935" width="43.85546875" style="21" customWidth="1"/>
    <col min="7936" max="7936" width="0.140625" style="21" customWidth="1"/>
    <col min="7937" max="7938" width="14.7109375" style="21" customWidth="1"/>
    <col min="7939" max="7939" width="24.5703125" style="21" customWidth="1"/>
    <col min="7940" max="7940" width="23.85546875" style="21" customWidth="1"/>
    <col min="7941" max="7941" width="0.28515625" style="21" customWidth="1"/>
    <col min="7942" max="7942" width="14.28515625" style="21" customWidth="1"/>
    <col min="7943" max="7943" width="14.5703125" style="21" customWidth="1"/>
    <col min="7944" max="7944" width="0.28515625" style="21" customWidth="1"/>
    <col min="7945" max="7945" width="4.7109375" style="21" customWidth="1"/>
    <col min="7946" max="8189" width="9.140625" style="21" customWidth="1"/>
    <col min="8190" max="8190" width="4.140625" style="21" customWidth="1"/>
    <col min="8191" max="8191" width="43.85546875" style="21" customWidth="1"/>
    <col min="8192" max="8192" width="0.140625" style="21" customWidth="1"/>
    <col min="8193" max="8194" width="14.7109375" style="21" customWidth="1"/>
    <col min="8195" max="8195" width="24.5703125" style="21" customWidth="1"/>
    <col min="8196" max="8196" width="23.85546875" style="21" customWidth="1"/>
    <col min="8197" max="8197" width="0.28515625" style="21" customWidth="1"/>
    <col min="8198" max="8198" width="14.28515625" style="21" customWidth="1"/>
    <col min="8199" max="8199" width="14.5703125" style="21" customWidth="1"/>
    <col min="8200" max="8200" width="0.28515625" style="21" customWidth="1"/>
    <col min="8201" max="8201" width="4.7109375" style="21" customWidth="1"/>
    <col min="8202" max="8445" width="9.140625" style="21" customWidth="1"/>
    <col min="8446" max="8446" width="4.140625" style="21" customWidth="1"/>
    <col min="8447" max="8447" width="43.85546875" style="21" customWidth="1"/>
    <col min="8448" max="8448" width="0.140625" style="21" customWidth="1"/>
    <col min="8449" max="8450" width="14.7109375" style="21" customWidth="1"/>
    <col min="8451" max="8451" width="24.5703125" style="21" customWidth="1"/>
    <col min="8452" max="8452" width="23.85546875" style="21" customWidth="1"/>
    <col min="8453" max="8453" width="0.28515625" style="21" customWidth="1"/>
    <col min="8454" max="8454" width="14.28515625" style="21" customWidth="1"/>
    <col min="8455" max="8455" width="14.5703125" style="21" customWidth="1"/>
    <col min="8456" max="8456" width="0.28515625" style="21" customWidth="1"/>
    <col min="8457" max="8457" width="4.7109375" style="21" customWidth="1"/>
    <col min="8458" max="8701" width="9.140625" style="21" customWidth="1"/>
    <col min="8702" max="8702" width="4.140625" style="21" customWidth="1"/>
    <col min="8703" max="8703" width="43.85546875" style="21" customWidth="1"/>
    <col min="8704" max="8704" width="0.140625" style="21" customWidth="1"/>
    <col min="8705" max="8706" width="14.7109375" style="21" customWidth="1"/>
    <col min="8707" max="8707" width="24.5703125" style="21" customWidth="1"/>
    <col min="8708" max="8708" width="23.85546875" style="21" customWidth="1"/>
    <col min="8709" max="8709" width="0.28515625" style="21" customWidth="1"/>
    <col min="8710" max="8710" width="14.28515625" style="21" customWidth="1"/>
    <col min="8711" max="8711" width="14.5703125" style="21" customWidth="1"/>
    <col min="8712" max="8712" width="0.28515625" style="21" customWidth="1"/>
    <col min="8713" max="8713" width="4.7109375" style="21" customWidth="1"/>
    <col min="8714" max="8957" width="9.140625" style="21" customWidth="1"/>
    <col min="8958" max="8958" width="4.140625" style="21" customWidth="1"/>
    <col min="8959" max="8959" width="43.85546875" style="21" customWidth="1"/>
    <col min="8960" max="8960" width="0.140625" style="21" customWidth="1"/>
    <col min="8961" max="8962" width="14.7109375" style="21" customWidth="1"/>
    <col min="8963" max="8963" width="24.5703125" style="21" customWidth="1"/>
    <col min="8964" max="8964" width="23.85546875" style="21" customWidth="1"/>
    <col min="8965" max="8965" width="0.28515625" style="21" customWidth="1"/>
    <col min="8966" max="8966" width="14.28515625" style="21" customWidth="1"/>
    <col min="8967" max="8967" width="14.5703125" style="21" customWidth="1"/>
    <col min="8968" max="8968" width="0.28515625" style="21" customWidth="1"/>
    <col min="8969" max="8969" width="4.7109375" style="21" customWidth="1"/>
    <col min="8970" max="9213" width="9.140625" style="21" customWidth="1"/>
    <col min="9214" max="9214" width="4.140625" style="21" customWidth="1"/>
    <col min="9215" max="9215" width="43.85546875" style="21" customWidth="1"/>
    <col min="9216" max="9216" width="0.140625" style="21" customWidth="1"/>
    <col min="9217" max="9218" width="14.7109375" style="21" customWidth="1"/>
    <col min="9219" max="9219" width="24.5703125" style="21" customWidth="1"/>
    <col min="9220" max="9220" width="23.85546875" style="21" customWidth="1"/>
    <col min="9221" max="9221" width="0.28515625" style="21" customWidth="1"/>
    <col min="9222" max="9222" width="14.28515625" style="21" customWidth="1"/>
    <col min="9223" max="9223" width="14.5703125" style="21" customWidth="1"/>
    <col min="9224" max="9224" width="0.28515625" style="21" customWidth="1"/>
    <col min="9225" max="9225" width="4.7109375" style="21" customWidth="1"/>
    <col min="9226" max="9469" width="9.140625" style="21" customWidth="1"/>
    <col min="9470" max="9470" width="4.140625" style="21" customWidth="1"/>
    <col min="9471" max="9471" width="43.85546875" style="21" customWidth="1"/>
    <col min="9472" max="9472" width="0.140625" style="21" customWidth="1"/>
    <col min="9473" max="9474" width="14.7109375" style="21" customWidth="1"/>
    <col min="9475" max="9475" width="24.5703125" style="21" customWidth="1"/>
    <col min="9476" max="9476" width="23.85546875" style="21" customWidth="1"/>
    <col min="9477" max="9477" width="0.28515625" style="21" customWidth="1"/>
    <col min="9478" max="9478" width="14.28515625" style="21" customWidth="1"/>
    <col min="9479" max="9479" width="14.5703125" style="21" customWidth="1"/>
    <col min="9480" max="9480" width="0.28515625" style="21" customWidth="1"/>
    <col min="9481" max="9481" width="4.7109375" style="21" customWidth="1"/>
    <col min="9482" max="9725" width="9.140625" style="21" customWidth="1"/>
    <col min="9726" max="9726" width="4.140625" style="21" customWidth="1"/>
    <col min="9727" max="9727" width="43.85546875" style="21" customWidth="1"/>
    <col min="9728" max="9728" width="0.140625" style="21" customWidth="1"/>
    <col min="9729" max="9730" width="14.7109375" style="21" customWidth="1"/>
    <col min="9731" max="9731" width="24.5703125" style="21" customWidth="1"/>
    <col min="9732" max="9732" width="23.85546875" style="21" customWidth="1"/>
    <col min="9733" max="9733" width="0.28515625" style="21" customWidth="1"/>
    <col min="9734" max="9734" width="14.28515625" style="21" customWidth="1"/>
    <col min="9735" max="9735" width="14.5703125" style="21" customWidth="1"/>
    <col min="9736" max="9736" width="0.28515625" style="21" customWidth="1"/>
    <col min="9737" max="9737" width="4.7109375" style="21" customWidth="1"/>
    <col min="9738" max="9981" width="9.140625" style="21" customWidth="1"/>
    <col min="9982" max="9982" width="4.140625" style="21" customWidth="1"/>
    <col min="9983" max="9983" width="43.85546875" style="21" customWidth="1"/>
    <col min="9984" max="9984" width="0.140625" style="21" customWidth="1"/>
    <col min="9985" max="9986" width="14.7109375" style="21" customWidth="1"/>
    <col min="9987" max="9987" width="24.5703125" style="21" customWidth="1"/>
    <col min="9988" max="9988" width="23.85546875" style="21" customWidth="1"/>
    <col min="9989" max="9989" width="0.28515625" style="21" customWidth="1"/>
    <col min="9990" max="9990" width="14.28515625" style="21" customWidth="1"/>
    <col min="9991" max="9991" width="14.5703125" style="21" customWidth="1"/>
    <col min="9992" max="9992" width="0.28515625" style="21" customWidth="1"/>
    <col min="9993" max="9993" width="4.7109375" style="21" customWidth="1"/>
    <col min="9994" max="10237" width="9.140625" style="21" customWidth="1"/>
    <col min="10238" max="10238" width="4.140625" style="21" customWidth="1"/>
    <col min="10239" max="10239" width="43.85546875" style="21" customWidth="1"/>
    <col min="10240" max="10240" width="0.140625" style="21" customWidth="1"/>
    <col min="10241" max="10242" width="14.7109375" style="21" customWidth="1"/>
    <col min="10243" max="10243" width="24.5703125" style="21" customWidth="1"/>
    <col min="10244" max="10244" width="23.85546875" style="21" customWidth="1"/>
    <col min="10245" max="10245" width="0.28515625" style="21" customWidth="1"/>
    <col min="10246" max="10246" width="14.28515625" style="21" customWidth="1"/>
    <col min="10247" max="10247" width="14.5703125" style="21" customWidth="1"/>
    <col min="10248" max="10248" width="0.28515625" style="21" customWidth="1"/>
    <col min="10249" max="10249" width="4.7109375" style="21" customWidth="1"/>
    <col min="10250" max="10493" width="9.140625" style="21" customWidth="1"/>
    <col min="10494" max="10494" width="4.140625" style="21" customWidth="1"/>
    <col min="10495" max="10495" width="43.85546875" style="21" customWidth="1"/>
    <col min="10496" max="10496" width="0.140625" style="21" customWidth="1"/>
    <col min="10497" max="10498" width="14.7109375" style="21" customWidth="1"/>
    <col min="10499" max="10499" width="24.5703125" style="21" customWidth="1"/>
    <col min="10500" max="10500" width="23.85546875" style="21" customWidth="1"/>
    <col min="10501" max="10501" width="0.28515625" style="21" customWidth="1"/>
    <col min="10502" max="10502" width="14.28515625" style="21" customWidth="1"/>
    <col min="10503" max="10503" width="14.5703125" style="21" customWidth="1"/>
    <col min="10504" max="10504" width="0.28515625" style="21" customWidth="1"/>
    <col min="10505" max="10505" width="4.7109375" style="21" customWidth="1"/>
    <col min="10506" max="10749" width="9.140625" style="21" customWidth="1"/>
    <col min="10750" max="10750" width="4.140625" style="21" customWidth="1"/>
    <col min="10751" max="10751" width="43.85546875" style="21" customWidth="1"/>
    <col min="10752" max="10752" width="0.140625" style="21" customWidth="1"/>
    <col min="10753" max="10754" width="14.7109375" style="21" customWidth="1"/>
    <col min="10755" max="10755" width="24.5703125" style="21" customWidth="1"/>
    <col min="10756" max="10756" width="23.85546875" style="21" customWidth="1"/>
    <col min="10757" max="10757" width="0.28515625" style="21" customWidth="1"/>
    <col min="10758" max="10758" width="14.28515625" style="21" customWidth="1"/>
    <col min="10759" max="10759" width="14.5703125" style="21" customWidth="1"/>
    <col min="10760" max="10760" width="0.28515625" style="21" customWidth="1"/>
    <col min="10761" max="10761" width="4.7109375" style="21" customWidth="1"/>
    <col min="10762" max="11005" width="9.140625" style="21" customWidth="1"/>
    <col min="11006" max="11006" width="4.140625" style="21" customWidth="1"/>
    <col min="11007" max="11007" width="43.85546875" style="21" customWidth="1"/>
    <col min="11008" max="11008" width="0.140625" style="21" customWidth="1"/>
    <col min="11009" max="11010" width="14.7109375" style="21" customWidth="1"/>
    <col min="11011" max="11011" width="24.5703125" style="21" customWidth="1"/>
    <col min="11012" max="11012" width="23.85546875" style="21" customWidth="1"/>
    <col min="11013" max="11013" width="0.28515625" style="21" customWidth="1"/>
    <col min="11014" max="11014" width="14.28515625" style="21" customWidth="1"/>
    <col min="11015" max="11015" width="14.5703125" style="21" customWidth="1"/>
    <col min="11016" max="11016" width="0.28515625" style="21" customWidth="1"/>
    <col min="11017" max="11017" width="4.7109375" style="21" customWidth="1"/>
    <col min="11018" max="11261" width="9.140625" style="21" customWidth="1"/>
    <col min="11262" max="11262" width="4.140625" style="21" customWidth="1"/>
    <col min="11263" max="11263" width="43.85546875" style="21" customWidth="1"/>
    <col min="11264" max="11264" width="0.140625" style="21" customWidth="1"/>
    <col min="11265" max="11266" width="14.7109375" style="21" customWidth="1"/>
    <col min="11267" max="11267" width="24.5703125" style="21" customWidth="1"/>
    <col min="11268" max="11268" width="23.85546875" style="21" customWidth="1"/>
    <col min="11269" max="11269" width="0.28515625" style="21" customWidth="1"/>
    <col min="11270" max="11270" width="14.28515625" style="21" customWidth="1"/>
    <col min="11271" max="11271" width="14.5703125" style="21" customWidth="1"/>
    <col min="11272" max="11272" width="0.28515625" style="21" customWidth="1"/>
    <col min="11273" max="11273" width="4.7109375" style="21" customWidth="1"/>
    <col min="11274" max="11517" width="9.140625" style="21" customWidth="1"/>
    <col min="11518" max="11518" width="4.140625" style="21" customWidth="1"/>
    <col min="11519" max="11519" width="43.85546875" style="21" customWidth="1"/>
    <col min="11520" max="11520" width="0.140625" style="21" customWidth="1"/>
    <col min="11521" max="11522" width="14.7109375" style="21" customWidth="1"/>
    <col min="11523" max="11523" width="24.5703125" style="21" customWidth="1"/>
    <col min="11524" max="11524" width="23.85546875" style="21" customWidth="1"/>
    <col min="11525" max="11525" width="0.28515625" style="21" customWidth="1"/>
    <col min="11526" max="11526" width="14.28515625" style="21" customWidth="1"/>
    <col min="11527" max="11527" width="14.5703125" style="21" customWidth="1"/>
    <col min="11528" max="11528" width="0.28515625" style="21" customWidth="1"/>
    <col min="11529" max="11529" width="4.7109375" style="21" customWidth="1"/>
    <col min="11530" max="11773" width="9.140625" style="21" customWidth="1"/>
    <col min="11774" max="11774" width="4.140625" style="21" customWidth="1"/>
    <col min="11775" max="11775" width="43.85546875" style="21" customWidth="1"/>
    <col min="11776" max="11776" width="0.140625" style="21" customWidth="1"/>
    <col min="11777" max="11778" width="14.7109375" style="21" customWidth="1"/>
    <col min="11779" max="11779" width="24.5703125" style="21" customWidth="1"/>
    <col min="11780" max="11780" width="23.85546875" style="21" customWidth="1"/>
    <col min="11781" max="11781" width="0.28515625" style="21" customWidth="1"/>
    <col min="11782" max="11782" width="14.28515625" style="21" customWidth="1"/>
    <col min="11783" max="11783" width="14.5703125" style="21" customWidth="1"/>
    <col min="11784" max="11784" width="0.28515625" style="21" customWidth="1"/>
    <col min="11785" max="11785" width="4.7109375" style="21" customWidth="1"/>
    <col min="11786" max="12029" width="9.140625" style="21" customWidth="1"/>
    <col min="12030" max="12030" width="4.140625" style="21" customWidth="1"/>
    <col min="12031" max="12031" width="43.85546875" style="21" customWidth="1"/>
    <col min="12032" max="12032" width="0.140625" style="21" customWidth="1"/>
    <col min="12033" max="12034" width="14.7109375" style="21" customWidth="1"/>
    <col min="12035" max="12035" width="24.5703125" style="21" customWidth="1"/>
    <col min="12036" max="12036" width="23.85546875" style="21" customWidth="1"/>
    <col min="12037" max="12037" width="0.28515625" style="21" customWidth="1"/>
    <col min="12038" max="12038" width="14.28515625" style="21" customWidth="1"/>
    <col min="12039" max="12039" width="14.5703125" style="21" customWidth="1"/>
    <col min="12040" max="12040" width="0.28515625" style="21" customWidth="1"/>
    <col min="12041" max="12041" width="4.7109375" style="21" customWidth="1"/>
    <col min="12042" max="12285" width="9.140625" style="21" customWidth="1"/>
    <col min="12286" max="12286" width="4.140625" style="21" customWidth="1"/>
    <col min="12287" max="12287" width="43.85546875" style="21" customWidth="1"/>
    <col min="12288" max="12288" width="0.140625" style="21" customWidth="1"/>
    <col min="12289" max="12290" width="14.7109375" style="21" customWidth="1"/>
    <col min="12291" max="12291" width="24.5703125" style="21" customWidth="1"/>
    <col min="12292" max="12292" width="23.85546875" style="21" customWidth="1"/>
    <col min="12293" max="12293" width="0.28515625" style="21" customWidth="1"/>
    <col min="12294" max="12294" width="14.28515625" style="21" customWidth="1"/>
    <col min="12295" max="12295" width="14.5703125" style="21" customWidth="1"/>
    <col min="12296" max="12296" width="0.28515625" style="21" customWidth="1"/>
    <col min="12297" max="12297" width="4.7109375" style="21" customWidth="1"/>
    <col min="12298" max="12541" width="9.140625" style="21" customWidth="1"/>
    <col min="12542" max="12542" width="4.140625" style="21" customWidth="1"/>
    <col min="12543" max="12543" width="43.85546875" style="21" customWidth="1"/>
    <col min="12544" max="12544" width="0.140625" style="21" customWidth="1"/>
    <col min="12545" max="12546" width="14.7109375" style="21" customWidth="1"/>
    <col min="12547" max="12547" width="24.5703125" style="21" customWidth="1"/>
    <col min="12548" max="12548" width="23.85546875" style="21" customWidth="1"/>
    <col min="12549" max="12549" width="0.28515625" style="21" customWidth="1"/>
    <col min="12550" max="12550" width="14.28515625" style="21" customWidth="1"/>
    <col min="12551" max="12551" width="14.5703125" style="21" customWidth="1"/>
    <col min="12552" max="12552" width="0.28515625" style="21" customWidth="1"/>
    <col min="12553" max="12553" width="4.7109375" style="21" customWidth="1"/>
    <col min="12554" max="12797" width="9.140625" style="21" customWidth="1"/>
    <col min="12798" max="12798" width="4.140625" style="21" customWidth="1"/>
    <col min="12799" max="12799" width="43.85546875" style="21" customWidth="1"/>
    <col min="12800" max="12800" width="0.140625" style="21" customWidth="1"/>
    <col min="12801" max="12802" width="14.7109375" style="21" customWidth="1"/>
    <col min="12803" max="12803" width="24.5703125" style="21" customWidth="1"/>
    <col min="12804" max="12804" width="23.85546875" style="21" customWidth="1"/>
    <col min="12805" max="12805" width="0.28515625" style="21" customWidth="1"/>
    <col min="12806" max="12806" width="14.28515625" style="21" customWidth="1"/>
    <col min="12807" max="12807" width="14.5703125" style="21" customWidth="1"/>
    <col min="12808" max="12808" width="0.28515625" style="21" customWidth="1"/>
    <col min="12809" max="12809" width="4.7109375" style="21" customWidth="1"/>
    <col min="12810" max="13053" width="9.140625" style="21" customWidth="1"/>
    <col min="13054" max="13054" width="4.140625" style="21" customWidth="1"/>
    <col min="13055" max="13055" width="43.85546875" style="21" customWidth="1"/>
    <col min="13056" max="13056" width="0.140625" style="21" customWidth="1"/>
    <col min="13057" max="13058" width="14.7109375" style="21" customWidth="1"/>
    <col min="13059" max="13059" width="24.5703125" style="21" customWidth="1"/>
    <col min="13060" max="13060" width="23.85546875" style="21" customWidth="1"/>
    <col min="13061" max="13061" width="0.28515625" style="21" customWidth="1"/>
    <col min="13062" max="13062" width="14.28515625" style="21" customWidth="1"/>
    <col min="13063" max="13063" width="14.5703125" style="21" customWidth="1"/>
    <col min="13064" max="13064" width="0.28515625" style="21" customWidth="1"/>
    <col min="13065" max="13065" width="4.7109375" style="21" customWidth="1"/>
    <col min="13066" max="13309" width="9.140625" style="21" customWidth="1"/>
    <col min="13310" max="13310" width="4.140625" style="21" customWidth="1"/>
    <col min="13311" max="13311" width="43.85546875" style="21" customWidth="1"/>
    <col min="13312" max="13312" width="0.140625" style="21" customWidth="1"/>
    <col min="13313" max="13314" width="14.7109375" style="21" customWidth="1"/>
    <col min="13315" max="13315" width="24.5703125" style="21" customWidth="1"/>
    <col min="13316" max="13316" width="23.85546875" style="21" customWidth="1"/>
    <col min="13317" max="13317" width="0.28515625" style="21" customWidth="1"/>
    <col min="13318" max="13318" width="14.28515625" style="21" customWidth="1"/>
    <col min="13319" max="13319" width="14.5703125" style="21" customWidth="1"/>
    <col min="13320" max="13320" width="0.28515625" style="21" customWidth="1"/>
    <col min="13321" max="13321" width="4.7109375" style="21" customWidth="1"/>
    <col min="13322" max="13565" width="9.140625" style="21" customWidth="1"/>
    <col min="13566" max="13566" width="4.140625" style="21" customWidth="1"/>
    <col min="13567" max="13567" width="43.85546875" style="21" customWidth="1"/>
    <col min="13568" max="13568" width="0.140625" style="21" customWidth="1"/>
    <col min="13569" max="13570" width="14.7109375" style="21" customWidth="1"/>
    <col min="13571" max="13571" width="24.5703125" style="21" customWidth="1"/>
    <col min="13572" max="13572" width="23.85546875" style="21" customWidth="1"/>
    <col min="13573" max="13573" width="0.28515625" style="21" customWidth="1"/>
    <col min="13574" max="13574" width="14.28515625" style="21" customWidth="1"/>
    <col min="13575" max="13575" width="14.5703125" style="21" customWidth="1"/>
    <col min="13576" max="13576" width="0.28515625" style="21" customWidth="1"/>
    <col min="13577" max="13577" width="4.7109375" style="21" customWidth="1"/>
    <col min="13578" max="13821" width="9.140625" style="21" customWidth="1"/>
    <col min="13822" max="13822" width="4.140625" style="21" customWidth="1"/>
    <col min="13823" max="13823" width="43.85546875" style="21" customWidth="1"/>
    <col min="13824" max="13824" width="0.140625" style="21" customWidth="1"/>
    <col min="13825" max="13826" width="14.7109375" style="21" customWidth="1"/>
    <col min="13827" max="13827" width="24.5703125" style="21" customWidth="1"/>
    <col min="13828" max="13828" width="23.85546875" style="21" customWidth="1"/>
    <col min="13829" max="13829" width="0.28515625" style="21" customWidth="1"/>
    <col min="13830" max="13830" width="14.28515625" style="21" customWidth="1"/>
    <col min="13831" max="13831" width="14.5703125" style="21" customWidth="1"/>
    <col min="13832" max="13832" width="0.28515625" style="21" customWidth="1"/>
    <col min="13833" max="13833" width="4.7109375" style="21" customWidth="1"/>
    <col min="13834" max="14077" width="9.140625" style="21" customWidth="1"/>
    <col min="14078" max="14078" width="4.140625" style="21" customWidth="1"/>
    <col min="14079" max="14079" width="43.85546875" style="21" customWidth="1"/>
    <col min="14080" max="14080" width="0.140625" style="21" customWidth="1"/>
    <col min="14081" max="14082" width="14.7109375" style="21" customWidth="1"/>
    <col min="14083" max="14083" width="24.5703125" style="21" customWidth="1"/>
    <col min="14084" max="14084" width="23.85546875" style="21" customWidth="1"/>
    <col min="14085" max="14085" width="0.28515625" style="21" customWidth="1"/>
    <col min="14086" max="14086" width="14.28515625" style="21" customWidth="1"/>
    <col min="14087" max="14087" width="14.5703125" style="21" customWidth="1"/>
    <col min="14088" max="14088" width="0.28515625" style="21" customWidth="1"/>
    <col min="14089" max="14089" width="4.7109375" style="21" customWidth="1"/>
    <col min="14090" max="14333" width="9.140625" style="21" customWidth="1"/>
    <col min="14334" max="14334" width="4.140625" style="21" customWidth="1"/>
    <col min="14335" max="14335" width="43.85546875" style="21" customWidth="1"/>
    <col min="14336" max="14336" width="0.140625" style="21" customWidth="1"/>
    <col min="14337" max="14338" width="14.7109375" style="21" customWidth="1"/>
    <col min="14339" max="14339" width="24.5703125" style="21" customWidth="1"/>
    <col min="14340" max="14340" width="23.85546875" style="21" customWidth="1"/>
    <col min="14341" max="14341" width="0.28515625" style="21" customWidth="1"/>
    <col min="14342" max="14342" width="14.28515625" style="21" customWidth="1"/>
    <col min="14343" max="14343" width="14.5703125" style="21" customWidth="1"/>
    <col min="14344" max="14344" width="0.28515625" style="21" customWidth="1"/>
    <col min="14345" max="14345" width="4.7109375" style="21" customWidth="1"/>
    <col min="14346" max="14589" width="9.140625" style="21" customWidth="1"/>
    <col min="14590" max="14590" width="4.140625" style="21" customWidth="1"/>
    <col min="14591" max="14591" width="43.85546875" style="21" customWidth="1"/>
    <col min="14592" max="14592" width="0.140625" style="21" customWidth="1"/>
    <col min="14593" max="14594" width="14.7109375" style="21" customWidth="1"/>
    <col min="14595" max="14595" width="24.5703125" style="21" customWidth="1"/>
    <col min="14596" max="14596" width="23.85546875" style="21" customWidth="1"/>
    <col min="14597" max="14597" width="0.28515625" style="21" customWidth="1"/>
    <col min="14598" max="14598" width="14.28515625" style="21" customWidth="1"/>
    <col min="14599" max="14599" width="14.5703125" style="21" customWidth="1"/>
    <col min="14600" max="14600" width="0.28515625" style="21" customWidth="1"/>
    <col min="14601" max="14601" width="4.7109375" style="21" customWidth="1"/>
    <col min="14602" max="14845" width="9.140625" style="21" customWidth="1"/>
    <col min="14846" max="14846" width="4.140625" style="21" customWidth="1"/>
    <col min="14847" max="14847" width="43.85546875" style="21" customWidth="1"/>
    <col min="14848" max="14848" width="0.140625" style="21" customWidth="1"/>
    <col min="14849" max="14850" width="14.7109375" style="21" customWidth="1"/>
    <col min="14851" max="14851" width="24.5703125" style="21" customWidth="1"/>
    <col min="14852" max="14852" width="23.85546875" style="21" customWidth="1"/>
    <col min="14853" max="14853" width="0.28515625" style="21" customWidth="1"/>
    <col min="14854" max="14854" width="14.28515625" style="21" customWidth="1"/>
    <col min="14855" max="14855" width="14.5703125" style="21" customWidth="1"/>
    <col min="14856" max="14856" width="0.28515625" style="21" customWidth="1"/>
    <col min="14857" max="14857" width="4.7109375" style="21" customWidth="1"/>
    <col min="14858" max="15101" width="9.140625" style="21" customWidth="1"/>
    <col min="15102" max="15102" width="4.140625" style="21" customWidth="1"/>
    <col min="15103" max="15103" width="43.85546875" style="21" customWidth="1"/>
    <col min="15104" max="15104" width="0.140625" style="21" customWidth="1"/>
    <col min="15105" max="15106" width="14.7109375" style="21" customWidth="1"/>
    <col min="15107" max="15107" width="24.5703125" style="21" customWidth="1"/>
    <col min="15108" max="15108" width="23.85546875" style="21" customWidth="1"/>
    <col min="15109" max="15109" width="0.28515625" style="21" customWidth="1"/>
    <col min="15110" max="15110" width="14.28515625" style="21" customWidth="1"/>
    <col min="15111" max="15111" width="14.5703125" style="21" customWidth="1"/>
    <col min="15112" max="15112" width="0.28515625" style="21" customWidth="1"/>
    <col min="15113" max="15113" width="4.7109375" style="21" customWidth="1"/>
    <col min="15114" max="15357" width="9.140625" style="21" customWidth="1"/>
    <col min="15358" max="15358" width="4.140625" style="21" customWidth="1"/>
    <col min="15359" max="15359" width="43.85546875" style="21" customWidth="1"/>
    <col min="15360" max="15360" width="0.140625" style="21" customWidth="1"/>
    <col min="15361" max="15362" width="14.7109375" style="21" customWidth="1"/>
    <col min="15363" max="15363" width="24.5703125" style="21" customWidth="1"/>
    <col min="15364" max="15364" width="23.85546875" style="21" customWidth="1"/>
    <col min="15365" max="15365" width="0.28515625" style="21" customWidth="1"/>
    <col min="15366" max="15366" width="14.28515625" style="21" customWidth="1"/>
    <col min="15367" max="15367" width="14.5703125" style="21" customWidth="1"/>
    <col min="15368" max="15368" width="0.28515625" style="21" customWidth="1"/>
    <col min="15369" max="15369" width="4.7109375" style="21" customWidth="1"/>
    <col min="15370" max="15613" width="9.140625" style="21" customWidth="1"/>
    <col min="15614" max="15614" width="4.140625" style="21" customWidth="1"/>
    <col min="15615" max="15615" width="43.85546875" style="21" customWidth="1"/>
    <col min="15616" max="15616" width="0.140625" style="21" customWidth="1"/>
    <col min="15617" max="15618" width="14.7109375" style="21" customWidth="1"/>
    <col min="15619" max="15619" width="24.5703125" style="21" customWidth="1"/>
    <col min="15620" max="15620" width="23.85546875" style="21" customWidth="1"/>
    <col min="15621" max="15621" width="0.28515625" style="21" customWidth="1"/>
    <col min="15622" max="15622" width="14.28515625" style="21" customWidth="1"/>
    <col min="15623" max="15623" width="14.5703125" style="21" customWidth="1"/>
    <col min="15624" max="15624" width="0.28515625" style="21" customWidth="1"/>
    <col min="15625" max="15625" width="4.7109375" style="21" customWidth="1"/>
    <col min="15626" max="15869" width="9.140625" style="21" customWidth="1"/>
    <col min="15870" max="15870" width="4.140625" style="21" customWidth="1"/>
    <col min="15871" max="15871" width="43.85546875" style="21" customWidth="1"/>
    <col min="15872" max="15872" width="0.140625" style="21" customWidth="1"/>
    <col min="15873" max="15874" width="14.7109375" style="21" customWidth="1"/>
    <col min="15875" max="15875" width="24.5703125" style="21" customWidth="1"/>
    <col min="15876" max="15876" width="23.85546875" style="21" customWidth="1"/>
    <col min="15877" max="15877" width="0.28515625" style="21" customWidth="1"/>
    <col min="15878" max="15878" width="14.28515625" style="21" customWidth="1"/>
    <col min="15879" max="15879" width="14.5703125" style="21" customWidth="1"/>
    <col min="15880" max="15880" width="0.28515625" style="21" customWidth="1"/>
    <col min="15881" max="15881" width="4.7109375" style="21" customWidth="1"/>
    <col min="15882" max="16125" width="9.140625" style="21" customWidth="1"/>
    <col min="16126" max="16126" width="4.140625" style="21" customWidth="1"/>
    <col min="16127" max="16127" width="43.85546875" style="21" customWidth="1"/>
    <col min="16128" max="16128" width="0.140625" style="21" customWidth="1"/>
    <col min="16129" max="16130" width="14.7109375" style="21" customWidth="1"/>
    <col min="16131" max="16131" width="24.5703125" style="21" customWidth="1"/>
    <col min="16132" max="16132" width="23.85546875" style="21" customWidth="1"/>
    <col min="16133" max="16133" width="0.28515625" style="21" customWidth="1"/>
    <col min="16134" max="16134" width="14.28515625" style="21" customWidth="1"/>
    <col min="16135" max="16135" width="14.5703125" style="21" customWidth="1"/>
    <col min="16136" max="16136" width="0.28515625" style="21" customWidth="1"/>
    <col min="16137" max="16137" width="4.7109375" style="21" customWidth="1"/>
    <col min="16138" max="16384" width="9.140625" style="21" customWidth="1"/>
  </cols>
  <sheetData>
    <row r="1" spans="1:13" s="157" customFormat="1" ht="13.5" customHeight="1" x14ac:dyDescent="0.25">
      <c r="A1" s="921" t="s">
        <v>97</v>
      </c>
      <c r="B1" s="921"/>
      <c r="C1" s="921"/>
      <c r="D1" s="921"/>
      <c r="E1" s="921"/>
      <c r="F1" s="921"/>
      <c r="G1" s="921"/>
      <c r="H1" s="921"/>
      <c r="I1" s="921"/>
      <c r="J1" s="158"/>
    </row>
    <row r="2" spans="1:13" s="157" customFormat="1" ht="12" customHeight="1" x14ac:dyDescent="0.2">
      <c r="A2" s="922" t="s">
        <v>391</v>
      </c>
      <c r="B2" s="922"/>
      <c r="C2" s="922"/>
      <c r="D2" s="922"/>
      <c r="E2" s="922"/>
      <c r="F2" s="922"/>
      <c r="G2" s="922"/>
      <c r="H2" s="922"/>
      <c r="I2" s="922"/>
      <c r="J2" s="158"/>
    </row>
    <row r="3" spans="1:13" s="157" customFormat="1" ht="15" customHeight="1" x14ac:dyDescent="0.2">
      <c r="A3" s="922" t="s">
        <v>392</v>
      </c>
      <c r="B3" s="922"/>
      <c r="C3" s="922"/>
      <c r="D3" s="922"/>
      <c r="E3" s="922"/>
      <c r="F3" s="922"/>
      <c r="G3" s="922"/>
      <c r="H3" s="922"/>
      <c r="I3" s="922"/>
      <c r="J3" s="158"/>
    </row>
    <row r="4" spans="1:13" s="159" customFormat="1" ht="15" customHeight="1" x14ac:dyDescent="0.25">
      <c r="A4" s="924"/>
      <c r="B4" s="924"/>
      <c r="C4" s="924"/>
      <c r="D4" s="924"/>
      <c r="E4" s="924"/>
      <c r="F4" s="924"/>
      <c r="G4" s="924"/>
      <c r="H4" s="924"/>
      <c r="I4" s="924"/>
      <c r="J4" s="158"/>
    </row>
    <row r="5" spans="1:13" s="157" customFormat="1" ht="12" customHeight="1" x14ac:dyDescent="0.2">
      <c r="A5" s="160"/>
      <c r="B5" s="925"/>
      <c r="C5" s="925"/>
      <c r="D5" s="161"/>
      <c r="E5" s="161" t="s">
        <v>60</v>
      </c>
      <c r="F5" s="926"/>
      <c r="G5" s="926"/>
      <c r="H5" s="161"/>
      <c r="I5" s="161"/>
      <c r="J5" s="158"/>
    </row>
    <row r="6" spans="1:13" s="157" customFormat="1" ht="14.25" customHeight="1" x14ac:dyDescent="0.2">
      <c r="A6" s="160"/>
      <c r="B6" s="162" t="s">
        <v>218</v>
      </c>
      <c r="C6" s="162"/>
      <c r="D6" s="163"/>
      <c r="E6" s="164">
        <v>6.2755770000000002</v>
      </c>
      <c r="F6" s="927"/>
      <c r="G6" s="927"/>
      <c r="H6" s="163"/>
      <c r="I6" s="163"/>
      <c r="J6" s="158"/>
      <c r="K6" s="165" t="s">
        <v>219</v>
      </c>
      <c r="L6" s="166"/>
      <c r="M6" s="167"/>
    </row>
    <row r="7" spans="1:13" s="159" customFormat="1" ht="12.75" customHeight="1" x14ac:dyDescent="0.2">
      <c r="A7" s="917" t="s">
        <v>220</v>
      </c>
      <c r="B7" s="917"/>
      <c r="C7" s="917"/>
      <c r="D7" s="168"/>
      <c r="E7" s="169"/>
      <c r="F7" s="169"/>
      <c r="G7" s="928" t="s">
        <v>221</v>
      </c>
      <c r="H7" s="929"/>
      <c r="I7" s="930"/>
      <c r="J7" s="158"/>
      <c r="K7" s="166"/>
      <c r="L7" s="166"/>
      <c r="M7" s="167"/>
    </row>
    <row r="8" spans="1:13" s="157" customFormat="1" ht="12" customHeight="1" x14ac:dyDescent="0.2">
      <c r="A8" s="287" t="s">
        <v>222</v>
      </c>
      <c r="B8" s="916" t="s">
        <v>223</v>
      </c>
      <c r="C8" s="916"/>
      <c r="D8" s="285">
        <v>24749735.420000002</v>
      </c>
      <c r="E8" s="194">
        <f>D8*$E$6</f>
        <v>155318870.35783735</v>
      </c>
      <c r="F8" s="172"/>
      <c r="G8" s="173"/>
      <c r="H8" s="174" t="s">
        <v>2</v>
      </c>
      <c r="I8" s="175" t="s">
        <v>71</v>
      </c>
      <c r="J8" s="158">
        <f>+D8*$E$6-E8</f>
        <v>0</v>
      </c>
      <c r="K8" s="176">
        <f t="shared" ref="K8:K13" si="0">+D8*$E$6-E8</f>
        <v>0</v>
      </c>
      <c r="L8" s="177"/>
      <c r="M8" s="167"/>
    </row>
    <row r="9" spans="1:13" s="157" customFormat="1" ht="11.25" customHeight="1" x14ac:dyDescent="0.2">
      <c r="A9" s="287" t="s">
        <v>61</v>
      </c>
      <c r="B9" s="916" t="s">
        <v>7</v>
      </c>
      <c r="C9" s="916"/>
      <c r="D9" s="285">
        <v>90494.06</v>
      </c>
      <c r="E9" s="194">
        <f>D9*$E$6</f>
        <v>567902.44157261995</v>
      </c>
      <c r="F9" s="178"/>
      <c r="G9" s="179" t="s">
        <v>70</v>
      </c>
      <c r="H9" s="180">
        <f>D8</f>
        <v>24749735.420000002</v>
      </c>
      <c r="I9" s="181">
        <f>E8</f>
        <v>155318870.35783735</v>
      </c>
      <c r="J9" s="158">
        <f t="shared" ref="J9:J75" si="1">+D9*$E$6-E9</f>
        <v>0</v>
      </c>
      <c r="K9" s="176">
        <f t="shared" si="0"/>
        <v>0</v>
      </c>
      <c r="L9" s="177"/>
      <c r="M9" s="167"/>
    </row>
    <row r="10" spans="1:13" s="157" customFormat="1" ht="12" customHeight="1" x14ac:dyDescent="0.2">
      <c r="A10" s="287" t="s">
        <v>62</v>
      </c>
      <c r="B10" s="916" t="s">
        <v>8</v>
      </c>
      <c r="C10" s="916"/>
      <c r="D10" s="285">
        <v>125293.81</v>
      </c>
      <c r="E10" s="171">
        <f>D10*$E$6</f>
        <v>786290.95227837004</v>
      </c>
      <c r="F10" s="178"/>
      <c r="G10" s="182" t="s">
        <v>357</v>
      </c>
      <c r="H10" s="180">
        <f>H9</f>
        <v>24749735.420000002</v>
      </c>
      <c r="I10" s="180">
        <f>+H10*E6</f>
        <v>155318870.35783735</v>
      </c>
      <c r="J10" s="158">
        <f t="shared" si="1"/>
        <v>0</v>
      </c>
      <c r="K10" s="176">
        <f t="shared" si="0"/>
        <v>0</v>
      </c>
      <c r="L10" s="177"/>
      <c r="M10" s="167"/>
    </row>
    <row r="11" spans="1:13" s="157" customFormat="1" ht="13.5" customHeight="1" x14ac:dyDescent="0.2">
      <c r="A11" s="287" t="s">
        <v>63</v>
      </c>
      <c r="B11" s="916" t="s">
        <v>224</v>
      </c>
      <c r="C11" s="916"/>
      <c r="D11" s="285">
        <v>0</v>
      </c>
      <c r="E11" s="171">
        <f>D11*$E$6</f>
        <v>0</v>
      </c>
      <c r="F11" s="178"/>
      <c r="G11" s="182" t="s">
        <v>111</v>
      </c>
      <c r="H11" s="180">
        <v>0</v>
      </c>
      <c r="I11" s="181">
        <v>0</v>
      </c>
      <c r="J11" s="158">
        <f t="shared" si="1"/>
        <v>0</v>
      </c>
      <c r="K11" s="176">
        <f t="shared" si="0"/>
        <v>0</v>
      </c>
      <c r="L11" s="177"/>
      <c r="M11" s="167"/>
    </row>
    <row r="12" spans="1:13" s="157" customFormat="1" ht="11.25" customHeight="1" x14ac:dyDescent="0.2">
      <c r="A12" s="287"/>
      <c r="B12" s="287" t="s">
        <v>226</v>
      </c>
      <c r="C12" s="287"/>
      <c r="D12" s="285"/>
      <c r="E12" s="171"/>
      <c r="F12" s="178"/>
      <c r="G12" s="182" t="s">
        <v>225</v>
      </c>
      <c r="H12" s="180">
        <f>+H10-H11</f>
        <v>24749735.420000002</v>
      </c>
      <c r="I12" s="181">
        <f>H12*E6</f>
        <v>155318870.35783735</v>
      </c>
      <c r="J12" s="158">
        <f t="shared" si="1"/>
        <v>0</v>
      </c>
      <c r="K12" s="176">
        <f t="shared" si="0"/>
        <v>0</v>
      </c>
      <c r="L12" s="177"/>
      <c r="M12" s="167"/>
    </row>
    <row r="13" spans="1:13" s="159" customFormat="1" ht="14.25" customHeight="1" x14ac:dyDescent="0.2">
      <c r="A13" s="185" t="s">
        <v>64</v>
      </c>
      <c r="B13" s="923" t="s">
        <v>227</v>
      </c>
      <c r="C13" s="923"/>
      <c r="D13" s="323">
        <f>D8-D9-D10-D11+D12</f>
        <v>24533947.550000004</v>
      </c>
      <c r="E13" s="323">
        <f>E8-E9-E10-E11+E12</f>
        <v>153964676.96398637</v>
      </c>
      <c r="F13" s="324"/>
      <c r="G13" s="325"/>
      <c r="H13" s="326"/>
      <c r="I13" s="327"/>
      <c r="J13" s="158">
        <f t="shared" si="1"/>
        <v>0</v>
      </c>
      <c r="K13" s="176">
        <f t="shared" si="0"/>
        <v>0</v>
      </c>
      <c r="L13" s="176"/>
      <c r="M13" s="176"/>
    </row>
    <row r="14" spans="1:13" s="159" customFormat="1" ht="17.25" customHeight="1" x14ac:dyDescent="0.2">
      <c r="A14" s="917" t="s">
        <v>228</v>
      </c>
      <c r="B14" s="917"/>
      <c r="C14" s="917"/>
      <c r="D14" s="168"/>
      <c r="E14" s="191"/>
      <c r="F14" s="192"/>
      <c r="G14" s="931" t="s">
        <v>93</v>
      </c>
      <c r="H14" s="931"/>
      <c r="I14" s="932"/>
      <c r="J14" s="158">
        <f t="shared" si="1"/>
        <v>0</v>
      </c>
    </row>
    <row r="15" spans="1:13" s="157" customFormat="1" ht="11.25" customHeight="1" x14ac:dyDescent="0.2">
      <c r="A15" s="287" t="s">
        <v>209</v>
      </c>
      <c r="B15" s="916" t="s">
        <v>7</v>
      </c>
      <c r="C15" s="916"/>
      <c r="D15" s="285">
        <f>D9</f>
        <v>90494.06</v>
      </c>
      <c r="E15" s="171">
        <f>D15*$E$6</f>
        <v>567902.44157261995</v>
      </c>
      <c r="F15" s="194"/>
      <c r="G15" s="195" t="s">
        <v>229</v>
      </c>
      <c r="H15" s="196"/>
      <c r="I15" s="364">
        <v>945291.37</v>
      </c>
      <c r="J15" s="158">
        <f t="shared" si="1"/>
        <v>0</v>
      </c>
      <c r="K15" s="176">
        <f t="shared" ref="K15:K35" si="2">+D15*$E$6-E15</f>
        <v>0</v>
      </c>
      <c r="L15" s="176"/>
      <c r="M15" s="176"/>
    </row>
    <row r="16" spans="1:13" s="157" customFormat="1" ht="11.25" customHeight="1" x14ac:dyDescent="0.2">
      <c r="A16" s="287" t="s">
        <v>65</v>
      </c>
      <c r="B16" s="916" t="s">
        <v>8</v>
      </c>
      <c r="C16" s="916"/>
      <c r="D16" s="285">
        <v>125293.81</v>
      </c>
      <c r="E16" s="171">
        <f>D16*$E$6</f>
        <v>786290.95227837004</v>
      </c>
      <c r="F16" s="194"/>
      <c r="G16" s="140" t="s">
        <v>203</v>
      </c>
      <c r="H16" s="141"/>
      <c r="I16" s="364">
        <v>-29.82</v>
      </c>
      <c r="J16" s="158">
        <f t="shared" si="1"/>
        <v>0</v>
      </c>
      <c r="K16" s="176">
        <f t="shared" si="2"/>
        <v>0</v>
      </c>
      <c r="L16" s="176"/>
      <c r="M16" s="176"/>
    </row>
    <row r="17" spans="1:13" s="157" customFormat="1" ht="10.5" customHeight="1" x14ac:dyDescent="0.2">
      <c r="A17" s="287" t="s">
        <v>66</v>
      </c>
      <c r="B17" s="916" t="s">
        <v>9</v>
      </c>
      <c r="C17" s="916"/>
      <c r="D17" s="285">
        <v>0</v>
      </c>
      <c r="E17" s="171">
        <v>0</v>
      </c>
      <c r="F17" s="171"/>
      <c r="G17" s="198" t="s">
        <v>230</v>
      </c>
      <c r="H17" s="199"/>
      <c r="I17" s="180">
        <f>E32</f>
        <v>515773.48264134</v>
      </c>
      <c r="J17" s="158">
        <f t="shared" si="1"/>
        <v>0</v>
      </c>
      <c r="K17" s="176">
        <f t="shared" si="2"/>
        <v>0</v>
      </c>
      <c r="L17" s="176"/>
      <c r="M17" s="176"/>
    </row>
    <row r="18" spans="1:13" s="157" customFormat="1" ht="11.25" customHeight="1" x14ac:dyDescent="0.2">
      <c r="A18" s="287" t="s">
        <v>359</v>
      </c>
      <c r="B18" s="287" t="s">
        <v>69</v>
      </c>
      <c r="C18" s="287"/>
      <c r="D18" s="285"/>
      <c r="E18" s="171">
        <f>+D18*$E$6</f>
        <v>0</v>
      </c>
      <c r="F18" s="194"/>
      <c r="G18" s="198" t="s">
        <v>92</v>
      </c>
      <c r="H18" s="199"/>
      <c r="I18" s="180">
        <f>E34</f>
        <v>497940.99130545004</v>
      </c>
      <c r="J18" s="158">
        <f t="shared" si="1"/>
        <v>0</v>
      </c>
      <c r="K18" s="176">
        <f>+D18*$E$6-E18</f>
        <v>0</v>
      </c>
      <c r="L18" s="177"/>
      <c r="M18" s="167"/>
    </row>
    <row r="19" spans="1:13" s="159" customFormat="1" ht="14.25" customHeight="1" x14ac:dyDescent="0.2">
      <c r="A19" s="185" t="s">
        <v>207</v>
      </c>
      <c r="B19" s="904" t="s">
        <v>10</v>
      </c>
      <c r="C19" s="905"/>
      <c r="D19" s="328">
        <f>+D15+D16-D18</f>
        <v>215787.87</v>
      </c>
      <c r="E19" s="328">
        <f>+E15+E16-E18</f>
        <v>1354193.3938509901</v>
      </c>
      <c r="F19" s="329"/>
      <c r="G19" s="203" t="s">
        <v>231</v>
      </c>
      <c r="H19" s="204"/>
      <c r="I19" s="180">
        <f>+I15+I17-I18+I16</f>
        <v>963094.04133588995</v>
      </c>
      <c r="J19" s="158">
        <f t="shared" si="1"/>
        <v>0</v>
      </c>
      <c r="K19" s="176">
        <f t="shared" si="2"/>
        <v>0</v>
      </c>
      <c r="L19" s="176">
        <f>SUM(D15:D17)-D19-D18</f>
        <v>0</v>
      </c>
      <c r="M19" s="176">
        <f>SUM(E15:E17)-E19-E18</f>
        <v>0</v>
      </c>
    </row>
    <row r="20" spans="1:13" s="157" customFormat="1" ht="11.25" customHeight="1" x14ac:dyDescent="0.2">
      <c r="A20" s="287" t="s">
        <v>206</v>
      </c>
      <c r="B20" s="916" t="s">
        <v>11</v>
      </c>
      <c r="C20" s="916"/>
      <c r="D20" s="285">
        <v>156448.71</v>
      </c>
      <c r="E20" s="171">
        <f t="shared" ref="E20:E34" si="3">D20*$E$6</f>
        <v>981805.92615566996</v>
      </c>
      <c r="F20" s="194"/>
      <c r="J20" s="158">
        <f t="shared" si="1"/>
        <v>0</v>
      </c>
      <c r="K20" s="176">
        <f t="shared" si="2"/>
        <v>0</v>
      </c>
      <c r="L20" s="176"/>
      <c r="M20" s="176"/>
    </row>
    <row r="21" spans="1:13" s="157" customFormat="1" ht="11.25" customHeight="1" x14ac:dyDescent="0.2">
      <c r="A21" s="287" t="s">
        <v>67</v>
      </c>
      <c r="B21" s="916" t="s">
        <v>12</v>
      </c>
      <c r="C21" s="916"/>
      <c r="D21" s="285">
        <v>0</v>
      </c>
      <c r="E21" s="171">
        <f t="shared" si="3"/>
        <v>0</v>
      </c>
      <c r="F21" s="194"/>
      <c r="J21" s="158">
        <f t="shared" si="1"/>
        <v>0</v>
      </c>
      <c r="K21" s="176">
        <f t="shared" si="2"/>
        <v>0</v>
      </c>
      <c r="L21" s="176"/>
      <c r="M21" s="176"/>
    </row>
    <row r="22" spans="1:13" s="157" customFormat="1" ht="11.25" customHeight="1" x14ac:dyDescent="0.2">
      <c r="A22" s="287" t="s">
        <v>214</v>
      </c>
      <c r="B22" s="916" t="s">
        <v>13</v>
      </c>
      <c r="C22" s="916"/>
      <c r="D22" s="285">
        <v>20217.8</v>
      </c>
      <c r="E22" s="171">
        <f t="shared" si="3"/>
        <v>126878.3606706</v>
      </c>
      <c r="F22" s="194"/>
      <c r="G22" s="931" t="s">
        <v>95</v>
      </c>
      <c r="H22" s="931"/>
      <c r="I22" s="932"/>
      <c r="J22" s="158">
        <f t="shared" si="1"/>
        <v>0</v>
      </c>
      <c r="K22" s="176">
        <f t="shared" si="2"/>
        <v>0</v>
      </c>
      <c r="L22" s="176"/>
      <c r="M22" s="176"/>
    </row>
    <row r="23" spans="1:13" s="157" customFormat="1" ht="11.25" customHeight="1" x14ac:dyDescent="0.2">
      <c r="A23" s="287" t="s">
        <v>210</v>
      </c>
      <c r="B23" s="916" t="s">
        <v>14</v>
      </c>
      <c r="C23" s="916"/>
      <c r="D23" s="285">
        <v>0</v>
      </c>
      <c r="E23" s="171">
        <f t="shared" si="3"/>
        <v>0</v>
      </c>
      <c r="F23" s="194"/>
      <c r="G23" s="198" t="s">
        <v>232</v>
      </c>
      <c r="H23" s="182"/>
      <c r="I23" s="180">
        <v>228192.95</v>
      </c>
      <c r="J23" s="158">
        <f t="shared" si="1"/>
        <v>0</v>
      </c>
      <c r="K23" s="176">
        <f t="shared" si="2"/>
        <v>0</v>
      </c>
      <c r="L23" s="176"/>
      <c r="M23" s="176"/>
    </row>
    <row r="24" spans="1:13" s="157" customFormat="1" ht="11.25" customHeight="1" x14ac:dyDescent="0.2">
      <c r="A24" s="287" t="s">
        <v>213</v>
      </c>
      <c r="B24" s="916" t="s">
        <v>15</v>
      </c>
      <c r="C24" s="916"/>
      <c r="D24" s="285">
        <v>-7563.39</v>
      </c>
      <c r="E24" s="274">
        <f>D24*$E$6</f>
        <v>-47464.636326030006</v>
      </c>
      <c r="F24" s="194"/>
      <c r="G24" s="198" t="s">
        <v>233</v>
      </c>
      <c r="H24" s="198"/>
      <c r="I24" s="180">
        <f>E28</f>
        <v>14439.53787507</v>
      </c>
      <c r="J24" s="158">
        <f t="shared" si="1"/>
        <v>0</v>
      </c>
      <c r="K24" s="176">
        <f t="shared" si="2"/>
        <v>0</v>
      </c>
      <c r="L24" s="176"/>
      <c r="M24" s="176"/>
    </row>
    <row r="25" spans="1:13" s="157" customFormat="1" ht="11.25" customHeight="1" x14ac:dyDescent="0.2">
      <c r="A25" s="287" t="s">
        <v>208</v>
      </c>
      <c r="B25" s="916" t="s">
        <v>360</v>
      </c>
      <c r="C25" s="916"/>
      <c r="D25" s="285">
        <v>18549.43</v>
      </c>
      <c r="E25" s="171">
        <f t="shared" si="3"/>
        <v>116408.37627111</v>
      </c>
      <c r="F25" s="194"/>
      <c r="G25" s="198" t="s">
        <v>234</v>
      </c>
      <c r="H25" s="198"/>
      <c r="I25" s="180">
        <v>0</v>
      </c>
      <c r="J25" s="158">
        <f t="shared" si="1"/>
        <v>0</v>
      </c>
      <c r="K25" s="176">
        <f t="shared" si="2"/>
        <v>0</v>
      </c>
      <c r="L25" s="176"/>
      <c r="M25" s="176"/>
    </row>
    <row r="26" spans="1:13" s="157" customFormat="1" ht="11.25" customHeight="1" x14ac:dyDescent="0.2">
      <c r="A26" s="287" t="s">
        <v>212</v>
      </c>
      <c r="B26" s="287" t="s">
        <v>235</v>
      </c>
      <c r="C26" s="287"/>
      <c r="D26" s="285">
        <v>0</v>
      </c>
      <c r="E26" s="171">
        <f t="shared" si="3"/>
        <v>0</v>
      </c>
      <c r="F26" s="194"/>
      <c r="G26" s="203" t="s">
        <v>94</v>
      </c>
      <c r="H26" s="203"/>
      <c r="I26" s="180">
        <f>+I23+I24-I25</f>
        <v>242632.48787507002</v>
      </c>
      <c r="J26" s="158">
        <f t="shared" si="1"/>
        <v>0</v>
      </c>
      <c r="K26" s="176">
        <f t="shared" si="2"/>
        <v>0</v>
      </c>
      <c r="L26" s="176"/>
      <c r="M26" s="176"/>
    </row>
    <row r="27" spans="1:13" s="157" customFormat="1" ht="11.25" customHeight="1" x14ac:dyDescent="0.2">
      <c r="A27" s="287" t="s">
        <v>236</v>
      </c>
      <c r="B27" s="287" t="s">
        <v>237</v>
      </c>
      <c r="C27" s="287"/>
      <c r="D27" s="285">
        <v>0</v>
      </c>
      <c r="E27" s="171">
        <f t="shared" si="3"/>
        <v>0</v>
      </c>
      <c r="F27" s="194"/>
      <c r="G27" s="194"/>
      <c r="H27" s="205"/>
      <c r="I27" s="170"/>
      <c r="J27" s="158">
        <f t="shared" si="1"/>
        <v>0</v>
      </c>
      <c r="K27" s="176">
        <f t="shared" si="2"/>
        <v>0</v>
      </c>
      <c r="L27" s="176"/>
      <c r="M27" s="176"/>
    </row>
    <row r="28" spans="1:13" s="157" customFormat="1" ht="11.25" customHeight="1" x14ac:dyDescent="0.2">
      <c r="A28" s="287" t="s">
        <v>211</v>
      </c>
      <c r="B28" s="916" t="s">
        <v>18</v>
      </c>
      <c r="C28" s="916"/>
      <c r="D28" s="285">
        <v>2300.91</v>
      </c>
      <c r="E28" s="171">
        <f t="shared" si="3"/>
        <v>14439.53787507</v>
      </c>
      <c r="F28" s="194"/>
      <c r="G28" s="194"/>
      <c r="H28" s="205"/>
      <c r="I28" s="170"/>
      <c r="J28" s="158">
        <f t="shared" si="1"/>
        <v>0</v>
      </c>
      <c r="K28" s="176">
        <f>+D28*$E$6-E28</f>
        <v>0</v>
      </c>
      <c r="L28" s="176"/>
      <c r="M28" s="176"/>
    </row>
    <row r="29" spans="1:13" s="157" customFormat="1" ht="11.25" customHeight="1" x14ac:dyDescent="0.2">
      <c r="A29" s="287" t="s">
        <v>215</v>
      </c>
      <c r="B29" s="916" t="s">
        <v>19</v>
      </c>
      <c r="C29" s="916"/>
      <c r="D29" s="285">
        <v>4411.93</v>
      </c>
      <c r="E29" s="171">
        <f t="shared" si="3"/>
        <v>27687.406433610002</v>
      </c>
      <c r="F29" s="194"/>
      <c r="G29" s="194"/>
      <c r="H29" s="205"/>
      <c r="I29" s="170"/>
      <c r="J29" s="158">
        <f t="shared" si="1"/>
        <v>0</v>
      </c>
      <c r="K29" s="176">
        <f t="shared" si="2"/>
        <v>0</v>
      </c>
      <c r="L29" s="176"/>
      <c r="M29" s="176"/>
    </row>
    <row r="30" spans="1:13" s="157" customFormat="1" ht="11.25" customHeight="1" x14ac:dyDescent="0.2">
      <c r="A30" s="287" t="s">
        <v>238</v>
      </c>
      <c r="B30" s="916" t="s">
        <v>20</v>
      </c>
      <c r="C30" s="916"/>
      <c r="D30" s="285">
        <v>0</v>
      </c>
      <c r="E30" s="171">
        <f t="shared" si="3"/>
        <v>0</v>
      </c>
      <c r="F30" s="194"/>
      <c r="G30" s="194"/>
      <c r="H30" s="205"/>
      <c r="I30" s="170"/>
      <c r="J30" s="158">
        <f t="shared" si="1"/>
        <v>0</v>
      </c>
      <c r="K30" s="176">
        <f t="shared" si="2"/>
        <v>0</v>
      </c>
      <c r="L30" s="176"/>
      <c r="M30" s="176"/>
    </row>
    <row r="31" spans="1:13" s="157" customFormat="1" ht="12.75" customHeight="1" x14ac:dyDescent="0.2">
      <c r="A31" s="287" t="s">
        <v>205</v>
      </c>
      <c r="B31" s="916" t="s">
        <v>21</v>
      </c>
      <c r="C31" s="916"/>
      <c r="D31" s="285">
        <v>0</v>
      </c>
      <c r="E31" s="171">
        <f t="shared" si="3"/>
        <v>0</v>
      </c>
      <c r="F31" s="194"/>
      <c r="G31" s="194"/>
      <c r="H31" s="205"/>
      <c r="I31" s="170"/>
      <c r="J31" s="158">
        <f t="shared" si="1"/>
        <v>0</v>
      </c>
      <c r="K31" s="176">
        <f t="shared" si="2"/>
        <v>0</v>
      </c>
      <c r="L31" s="176"/>
      <c r="M31" s="176"/>
    </row>
    <row r="32" spans="1:13" s="157" customFormat="1" ht="11.25" customHeight="1" x14ac:dyDescent="0.2">
      <c r="A32" s="287" t="s">
        <v>239</v>
      </c>
      <c r="B32" s="916" t="s">
        <v>22</v>
      </c>
      <c r="C32" s="916"/>
      <c r="D32" s="285">
        <v>82187.42</v>
      </c>
      <c r="E32" s="171">
        <f t="shared" si="3"/>
        <v>515773.48264134</v>
      </c>
      <c r="F32" s="194"/>
      <c r="G32" s="194"/>
      <c r="H32" s="205"/>
      <c r="I32" s="170"/>
      <c r="J32" s="158">
        <f t="shared" si="1"/>
        <v>0</v>
      </c>
      <c r="K32" s="176">
        <f t="shared" si="2"/>
        <v>0</v>
      </c>
      <c r="L32" s="176"/>
      <c r="M32" s="176"/>
    </row>
    <row r="33" spans="1:13" s="157" customFormat="1" ht="11.25" customHeight="1" x14ac:dyDescent="0.2">
      <c r="A33" s="287" t="s">
        <v>241</v>
      </c>
      <c r="B33" s="287" t="s">
        <v>90</v>
      </c>
      <c r="C33" s="287"/>
      <c r="D33" s="285">
        <v>6.5333000000000002E-2</v>
      </c>
      <c r="E33" s="208">
        <f>+D33*E6</f>
        <v>0.41000227214100005</v>
      </c>
      <c r="F33" s="205"/>
      <c r="G33" s="209"/>
      <c r="H33" s="210"/>
      <c r="I33" s="207"/>
      <c r="J33" s="158">
        <f t="shared" si="1"/>
        <v>0</v>
      </c>
      <c r="K33" s="176">
        <f t="shared" si="2"/>
        <v>0</v>
      </c>
      <c r="L33" s="176"/>
      <c r="M33" s="176"/>
    </row>
    <row r="34" spans="1:13" s="157" customFormat="1" ht="12" customHeight="1" x14ac:dyDescent="0.2">
      <c r="A34" s="287" t="s">
        <v>243</v>
      </c>
      <c r="B34" s="287" t="s">
        <v>137</v>
      </c>
      <c r="C34" s="287"/>
      <c r="D34" s="285">
        <v>79345.850000000006</v>
      </c>
      <c r="E34" s="208">
        <f t="shared" si="3"/>
        <v>497940.99130545004</v>
      </c>
      <c r="F34" s="205"/>
      <c r="G34" s="209"/>
      <c r="H34" s="210"/>
      <c r="I34" s="207"/>
      <c r="J34" s="158">
        <f t="shared" si="1"/>
        <v>0</v>
      </c>
      <c r="K34" s="176">
        <f t="shared" si="2"/>
        <v>0</v>
      </c>
      <c r="L34" s="176"/>
      <c r="M34" s="176"/>
    </row>
    <row r="35" spans="1:13" s="159" customFormat="1" ht="16.5" customHeight="1" x14ac:dyDescent="0.2">
      <c r="A35" s="185"/>
      <c r="B35" s="904" t="s">
        <v>379</v>
      </c>
      <c r="C35" s="905"/>
      <c r="D35" s="328">
        <f>SUM(D19:D32)-D33-D34</f>
        <v>412994.76466699992</v>
      </c>
      <c r="E35" s="328">
        <f>SUM(E19:E32)-E33-E34</f>
        <v>2591780.4462646381</v>
      </c>
      <c r="F35" s="329"/>
      <c r="G35" s="185"/>
      <c r="H35" s="904"/>
      <c r="I35" s="905"/>
      <c r="J35" s="158">
        <f t="shared" si="1"/>
        <v>0</v>
      </c>
      <c r="K35" s="176">
        <f t="shared" si="2"/>
        <v>0</v>
      </c>
      <c r="L35" s="176">
        <f>SUM(D19:D32)-D35-D33-D34</f>
        <v>0</v>
      </c>
      <c r="M35" s="176">
        <f>SUM(E19:E32)-E35-E33-E34</f>
        <v>0</v>
      </c>
    </row>
    <row r="36" spans="1:13" s="159" customFormat="1" ht="15" customHeight="1" x14ac:dyDescent="0.2">
      <c r="A36" s="917" t="s">
        <v>242</v>
      </c>
      <c r="B36" s="917"/>
      <c r="C36" s="917"/>
      <c r="D36" s="168"/>
      <c r="E36" s="304"/>
      <c r="F36" s="305"/>
      <c r="G36" s="305"/>
      <c r="H36" s="305"/>
      <c r="I36" s="305"/>
      <c r="J36" s="158">
        <f t="shared" si="1"/>
        <v>0</v>
      </c>
    </row>
    <row r="37" spans="1:13" s="159" customFormat="1" ht="11.25" customHeight="1" x14ac:dyDescent="0.2">
      <c r="A37" s="287" t="s">
        <v>244</v>
      </c>
      <c r="B37" s="916" t="s">
        <v>15</v>
      </c>
      <c r="C37" s="916"/>
      <c r="D37" s="285">
        <f>D24</f>
        <v>-7563.39</v>
      </c>
      <c r="E37" s="171">
        <f>D37*$E$6</f>
        <v>-47464.636326030006</v>
      </c>
      <c r="F37" s="194"/>
      <c r="G37" s="194"/>
      <c r="H37" s="205"/>
      <c r="I37" s="213"/>
      <c r="J37" s="158">
        <f t="shared" si="1"/>
        <v>0</v>
      </c>
      <c r="K37" s="176">
        <f t="shared" ref="K37:K74" si="4">+D37*$E$6-E37</f>
        <v>0</v>
      </c>
    </row>
    <row r="38" spans="1:13" s="159" customFormat="1" ht="11.25" customHeight="1" x14ac:dyDescent="0.2">
      <c r="A38" s="287" t="s">
        <v>246</v>
      </c>
      <c r="B38" s="916" t="s">
        <v>245</v>
      </c>
      <c r="C38" s="916"/>
      <c r="D38" s="285">
        <v>43390.75</v>
      </c>
      <c r="E38" s="214">
        <f>D38*$E$6</f>
        <v>272301.99271274998</v>
      </c>
      <c r="F38" s="194"/>
      <c r="G38" s="194"/>
      <c r="H38" s="205"/>
      <c r="I38" s="213"/>
      <c r="J38" s="158">
        <f t="shared" si="1"/>
        <v>0</v>
      </c>
      <c r="K38" s="176">
        <f t="shared" si="4"/>
        <v>0</v>
      </c>
    </row>
    <row r="39" spans="1:13" s="159" customFormat="1" ht="11.25" customHeight="1" x14ac:dyDescent="0.2">
      <c r="A39" s="287" t="s">
        <v>248</v>
      </c>
      <c r="B39" s="916" t="s">
        <v>247</v>
      </c>
      <c r="C39" s="916"/>
      <c r="D39" s="285">
        <v>0</v>
      </c>
      <c r="E39" s="214">
        <f>D39*$E$6</f>
        <v>0</v>
      </c>
      <c r="F39" s="194"/>
      <c r="G39" s="194"/>
      <c r="H39" s="205"/>
      <c r="I39" s="213"/>
      <c r="J39" s="158">
        <f>+D39*$E$6-E39</f>
        <v>0</v>
      </c>
      <c r="K39" s="176">
        <f t="shared" si="4"/>
        <v>0</v>
      </c>
    </row>
    <row r="40" spans="1:13" s="159" customFormat="1" ht="11.25" customHeight="1" x14ac:dyDescent="0.2">
      <c r="A40" s="287" t="s">
        <v>249</v>
      </c>
      <c r="B40" s="916" t="s">
        <v>23</v>
      </c>
      <c r="C40" s="916"/>
      <c r="D40" s="285">
        <f>D38</f>
        <v>43390.75</v>
      </c>
      <c r="E40" s="214">
        <f>D40*$E$6</f>
        <v>272301.99271274998</v>
      </c>
      <c r="F40" s="194"/>
      <c r="G40" s="194"/>
      <c r="H40" s="205"/>
      <c r="I40" s="213"/>
      <c r="J40" s="158">
        <f>+D40*$E$6-E40</f>
        <v>0</v>
      </c>
      <c r="K40" s="176">
        <f>+D40*$E$6-E40</f>
        <v>0</v>
      </c>
    </row>
    <row r="41" spans="1:13" s="159" customFormat="1" ht="11.25" customHeight="1" x14ac:dyDescent="0.2">
      <c r="A41" s="287" t="s">
        <v>252</v>
      </c>
      <c r="B41" s="916" t="s">
        <v>250</v>
      </c>
      <c r="C41" s="916"/>
      <c r="D41" s="285">
        <f>D37-D38</f>
        <v>-50954.14</v>
      </c>
      <c r="E41" s="215">
        <f>E37-E38</f>
        <v>-319766.62903878</v>
      </c>
      <c r="F41" s="194"/>
      <c r="G41" s="194"/>
      <c r="H41" s="205"/>
      <c r="I41" s="213"/>
      <c r="J41" s="158">
        <f t="shared" si="1"/>
        <v>0</v>
      </c>
      <c r="K41" s="176">
        <f t="shared" si="4"/>
        <v>0</v>
      </c>
    </row>
    <row r="42" spans="1:13" s="159" customFormat="1" ht="17.25" customHeight="1" x14ac:dyDescent="0.2">
      <c r="A42" s="917" t="s">
        <v>251</v>
      </c>
      <c r="B42" s="917"/>
      <c r="C42" s="917"/>
      <c r="D42" s="917"/>
      <c r="E42" s="917"/>
      <c r="F42" s="917"/>
      <c r="G42" s="917"/>
      <c r="H42" s="917"/>
      <c r="I42" s="917"/>
      <c r="J42" s="158">
        <f t="shared" si="1"/>
        <v>0</v>
      </c>
    </row>
    <row r="43" spans="1:13" s="157" customFormat="1" ht="11.25" customHeight="1" x14ac:dyDescent="0.2">
      <c r="A43" s="287" t="s">
        <v>253</v>
      </c>
      <c r="B43" s="916" t="s">
        <v>23</v>
      </c>
      <c r="C43" s="916"/>
      <c r="D43" s="285">
        <f>D40</f>
        <v>43390.75</v>
      </c>
      <c r="E43" s="171">
        <f>E38</f>
        <v>272301.99271274998</v>
      </c>
      <c r="F43" s="194"/>
      <c r="G43" s="194"/>
      <c r="H43" s="205"/>
      <c r="I43" s="170"/>
      <c r="J43" s="158">
        <f t="shared" si="1"/>
        <v>0</v>
      </c>
      <c r="K43" s="176">
        <f t="shared" si="4"/>
        <v>0</v>
      </c>
    </row>
    <row r="44" spans="1:13" s="157" customFormat="1" ht="11.25" customHeight="1" x14ac:dyDescent="0.2">
      <c r="A44" s="287" t="s">
        <v>255</v>
      </c>
      <c r="B44" s="916" t="s">
        <v>254</v>
      </c>
      <c r="C44" s="916"/>
      <c r="D44" s="375">
        <v>6804.97</v>
      </c>
      <c r="E44" s="171">
        <f>D44*$E$6</f>
        <v>42705.113217690006</v>
      </c>
      <c r="F44" s="194"/>
      <c r="G44" s="194"/>
      <c r="H44" s="205"/>
      <c r="I44" s="170"/>
      <c r="J44" s="158">
        <f t="shared" si="1"/>
        <v>0</v>
      </c>
      <c r="K44" s="176">
        <f t="shared" si="4"/>
        <v>0</v>
      </c>
    </row>
    <row r="45" spans="1:13" s="157" customFormat="1" ht="11.25" customHeight="1" x14ac:dyDescent="0.2">
      <c r="A45" s="287" t="s">
        <v>257</v>
      </c>
      <c r="B45" s="287" t="s">
        <v>256</v>
      </c>
      <c r="C45" s="287"/>
      <c r="D45" s="285">
        <v>0</v>
      </c>
      <c r="E45" s="171">
        <v>0</v>
      </c>
      <c r="F45" s="194"/>
      <c r="G45" s="194"/>
      <c r="H45" s="205"/>
      <c r="I45" s="170"/>
      <c r="J45" s="158">
        <f>+D47*$E$6-E47</f>
        <v>0</v>
      </c>
      <c r="K45" s="176">
        <f t="shared" si="4"/>
        <v>0</v>
      </c>
    </row>
    <row r="46" spans="1:13" s="157" customFormat="1" ht="11.25" customHeight="1" x14ac:dyDescent="0.2">
      <c r="A46" s="287" t="s">
        <v>259</v>
      </c>
      <c r="B46" s="287" t="s">
        <v>258</v>
      </c>
      <c r="C46" s="287"/>
      <c r="D46" s="285">
        <v>0</v>
      </c>
      <c r="E46" s="171">
        <v>0</v>
      </c>
      <c r="F46" s="194"/>
      <c r="G46" s="194"/>
      <c r="H46" s="205"/>
      <c r="I46" s="170"/>
      <c r="J46" s="158">
        <f t="shared" si="1"/>
        <v>0</v>
      </c>
      <c r="K46" s="176">
        <f t="shared" si="4"/>
        <v>0</v>
      </c>
    </row>
    <row r="47" spans="1:13" s="157" customFormat="1" ht="13.5" customHeight="1" x14ac:dyDescent="0.2">
      <c r="A47" s="287" t="s">
        <v>261</v>
      </c>
      <c r="B47" s="916" t="s">
        <v>260</v>
      </c>
      <c r="C47" s="916"/>
      <c r="D47" s="285">
        <v>20217.8</v>
      </c>
      <c r="E47" s="171">
        <f>D47*$E$6</f>
        <v>126878.3606706</v>
      </c>
      <c r="F47" s="194"/>
      <c r="G47" s="194"/>
      <c r="H47" s="205"/>
      <c r="I47" s="170"/>
      <c r="J47" s="158">
        <f>+D47*$E$6-E47</f>
        <v>0</v>
      </c>
      <c r="K47" s="176">
        <f t="shared" si="4"/>
        <v>0</v>
      </c>
    </row>
    <row r="48" spans="1:13" s="157" customFormat="1" ht="11.25" customHeight="1" x14ac:dyDescent="0.2">
      <c r="A48" s="287" t="s">
        <v>262</v>
      </c>
      <c r="B48" s="916" t="s">
        <v>19</v>
      </c>
      <c r="C48" s="916"/>
      <c r="D48" s="285">
        <v>4411.93</v>
      </c>
      <c r="E48" s="171">
        <f>D48*$E$6</f>
        <v>27687.406433610002</v>
      </c>
      <c r="F48" s="194"/>
      <c r="G48" s="194"/>
      <c r="H48" s="205"/>
      <c r="I48" s="170"/>
      <c r="J48" s="158">
        <f t="shared" si="1"/>
        <v>0</v>
      </c>
      <c r="K48" s="176">
        <f t="shared" si="4"/>
        <v>0</v>
      </c>
    </row>
    <row r="49" spans="1:13" s="157" customFormat="1" ht="11.25" customHeight="1" x14ac:dyDescent="0.2">
      <c r="A49" s="287" t="s">
        <v>264</v>
      </c>
      <c r="B49" s="916" t="s">
        <v>263</v>
      </c>
      <c r="C49" s="916"/>
      <c r="D49" s="285">
        <v>0</v>
      </c>
      <c r="F49" s="194"/>
      <c r="G49" s="194"/>
      <c r="H49" s="205"/>
      <c r="I49" s="170"/>
      <c r="J49" s="158">
        <f>+D53*$E$6-E53</f>
        <v>0</v>
      </c>
      <c r="K49" s="176">
        <f>+D53*$E$6-E53</f>
        <v>0</v>
      </c>
    </row>
    <row r="50" spans="1:13" s="157" customFormat="1" ht="11.25" customHeight="1" x14ac:dyDescent="0.2">
      <c r="A50" s="287" t="s">
        <v>267</v>
      </c>
      <c r="B50" s="916" t="s">
        <v>265</v>
      </c>
      <c r="C50" s="916"/>
      <c r="D50" s="285">
        <v>0</v>
      </c>
      <c r="E50" s="171">
        <f>D50*$E$6</f>
        <v>0</v>
      </c>
      <c r="F50" s="194"/>
      <c r="G50" s="194"/>
      <c r="H50" s="205"/>
      <c r="I50" s="170"/>
      <c r="J50" s="158">
        <f t="shared" si="1"/>
        <v>0</v>
      </c>
      <c r="K50" s="176">
        <f t="shared" si="4"/>
        <v>0</v>
      </c>
    </row>
    <row r="51" spans="1:13" s="157" customFormat="1" ht="11.25" customHeight="1" x14ac:dyDescent="0.2">
      <c r="A51" s="287" t="s">
        <v>269</v>
      </c>
      <c r="B51" s="287" t="s">
        <v>87</v>
      </c>
      <c r="C51" s="287"/>
      <c r="D51" s="375"/>
      <c r="E51" s="171"/>
      <c r="F51" s="205"/>
      <c r="G51" s="205"/>
      <c r="H51" s="205"/>
      <c r="I51" s="170"/>
      <c r="J51" s="158">
        <f t="shared" si="1"/>
        <v>0</v>
      </c>
      <c r="K51" s="176">
        <f t="shared" si="4"/>
        <v>0</v>
      </c>
    </row>
    <row r="52" spans="1:13" s="157" customFormat="1" ht="11.25" customHeight="1" x14ac:dyDescent="0.2">
      <c r="A52" s="287" t="s">
        <v>388</v>
      </c>
      <c r="B52" s="287" t="s">
        <v>266</v>
      </c>
      <c r="C52" s="287"/>
      <c r="D52" s="285"/>
      <c r="E52" s="171">
        <v>0</v>
      </c>
      <c r="F52" s="205"/>
      <c r="G52" s="171"/>
      <c r="H52" s="205"/>
      <c r="I52" s="170"/>
      <c r="J52" s="158">
        <f t="shared" si="1"/>
        <v>0</v>
      </c>
      <c r="K52" s="176">
        <f t="shared" si="4"/>
        <v>0</v>
      </c>
    </row>
    <row r="53" spans="1:13" s="157" customFormat="1" ht="11.25" customHeight="1" x14ac:dyDescent="0.2">
      <c r="A53" s="287" t="s">
        <v>272</v>
      </c>
      <c r="B53" s="916" t="s">
        <v>268</v>
      </c>
      <c r="C53" s="916"/>
      <c r="D53" s="376"/>
      <c r="E53" s="171">
        <f>D53*$E$6</f>
        <v>0</v>
      </c>
      <c r="F53" s="194"/>
      <c r="G53" s="194"/>
      <c r="H53" s="205"/>
      <c r="I53" s="170"/>
      <c r="J53" s="158">
        <f t="shared" si="1"/>
        <v>0</v>
      </c>
      <c r="K53" s="176">
        <f t="shared" si="4"/>
        <v>0</v>
      </c>
    </row>
    <row r="54" spans="1:13" s="159" customFormat="1" ht="13.5" customHeight="1" x14ac:dyDescent="0.2">
      <c r="A54" s="185"/>
      <c r="B54" s="904" t="s">
        <v>270</v>
      </c>
      <c r="C54" s="905"/>
      <c r="D54" s="328">
        <f>SUM(D43:D53)</f>
        <v>74825.450000000012</v>
      </c>
      <c r="E54" s="328">
        <f>SUM(E43:E53)</f>
        <v>469572.87303464999</v>
      </c>
      <c r="F54" s="329"/>
      <c r="G54" s="185"/>
      <c r="H54" s="904"/>
      <c r="I54" s="905"/>
      <c r="J54" s="158">
        <f t="shared" si="1"/>
        <v>0</v>
      </c>
      <c r="K54" s="176">
        <f t="shared" si="4"/>
        <v>0</v>
      </c>
      <c r="L54" s="176">
        <f>SUM(D43:D53)-D54</f>
        <v>0</v>
      </c>
      <c r="M54" s="176">
        <f>SUM(E43:E53)-E54</f>
        <v>0</v>
      </c>
    </row>
    <row r="55" spans="1:13" s="159" customFormat="1" ht="17.25" customHeight="1" x14ac:dyDescent="0.2">
      <c r="A55" s="917" t="s">
        <v>271</v>
      </c>
      <c r="B55" s="917"/>
      <c r="C55" s="917"/>
      <c r="D55" s="168"/>
      <c r="E55" s="302"/>
      <c r="F55" s="303"/>
      <c r="G55" s="303"/>
      <c r="H55" s="303"/>
      <c r="I55" s="303"/>
      <c r="J55" s="158">
        <f t="shared" si="1"/>
        <v>0</v>
      </c>
    </row>
    <row r="56" spans="1:13" s="157" customFormat="1" ht="11.25" customHeight="1" x14ac:dyDescent="0.2">
      <c r="A56" s="287" t="s">
        <v>274</v>
      </c>
      <c r="B56" s="916" t="s">
        <v>361</v>
      </c>
      <c r="C56" s="916"/>
      <c r="D56" s="285">
        <f>D25</f>
        <v>18549.43</v>
      </c>
      <c r="E56" s="171">
        <f>E25</f>
        <v>116408.37627111</v>
      </c>
      <c r="F56" s="194"/>
      <c r="G56" s="194"/>
      <c r="H56" s="205"/>
      <c r="I56" s="170"/>
      <c r="J56" s="158">
        <f t="shared" si="1"/>
        <v>0</v>
      </c>
      <c r="K56" s="176">
        <f t="shared" si="4"/>
        <v>0</v>
      </c>
    </row>
    <row r="57" spans="1:13" s="157" customFormat="1" ht="11.25" customHeight="1" x14ac:dyDescent="0.2">
      <c r="A57" s="287" t="s">
        <v>275</v>
      </c>
      <c r="B57" s="916" t="s">
        <v>362</v>
      </c>
      <c r="C57" s="916"/>
      <c r="D57" s="285">
        <f>D44</f>
        <v>6804.97</v>
      </c>
      <c r="E57" s="171">
        <f>E44</f>
        <v>42705.113217690006</v>
      </c>
      <c r="F57" s="194"/>
      <c r="G57" s="194"/>
      <c r="H57" s="205"/>
      <c r="I57" s="170"/>
      <c r="J57" s="158">
        <f t="shared" si="1"/>
        <v>0</v>
      </c>
      <c r="K57" s="176">
        <f t="shared" si="4"/>
        <v>0</v>
      </c>
    </row>
    <row r="58" spans="1:13" s="159" customFormat="1" ht="11.25" customHeight="1" x14ac:dyDescent="0.2">
      <c r="A58" s="295" t="s">
        <v>277</v>
      </c>
      <c r="B58" s="919" t="s">
        <v>363</v>
      </c>
      <c r="C58" s="920"/>
      <c r="D58" s="356">
        <f>+D56-D57</f>
        <v>11744.46</v>
      </c>
      <c r="E58" s="357">
        <f>E56-E57</f>
        <v>73703.26305342</v>
      </c>
      <c r="F58" s="330"/>
      <c r="G58" s="331"/>
      <c r="H58" s="332"/>
      <c r="I58" s="332"/>
      <c r="J58" s="158">
        <f t="shared" si="1"/>
        <v>0</v>
      </c>
      <c r="K58" s="176">
        <f t="shared" si="4"/>
        <v>0</v>
      </c>
    </row>
    <row r="59" spans="1:13" s="159" customFormat="1" ht="11.25" customHeight="1" x14ac:dyDescent="0.2">
      <c r="A59" s="288" t="s">
        <v>279</v>
      </c>
      <c r="B59" s="918" t="s">
        <v>364</v>
      </c>
      <c r="C59" s="918"/>
      <c r="D59" s="306"/>
      <c r="E59" s="215"/>
      <c r="F59" s="194"/>
      <c r="G59" s="194"/>
      <c r="H59" s="205"/>
      <c r="I59" s="213"/>
      <c r="J59" s="158">
        <f t="shared" si="1"/>
        <v>0</v>
      </c>
      <c r="K59" s="176">
        <f t="shared" si="4"/>
        <v>0</v>
      </c>
    </row>
    <row r="60" spans="1:13" s="159" customFormat="1" ht="11.25" customHeight="1" x14ac:dyDescent="0.2">
      <c r="A60" s="288" t="s">
        <v>281</v>
      </c>
      <c r="B60" s="918" t="s">
        <v>365</v>
      </c>
      <c r="C60" s="918"/>
      <c r="D60" s="306"/>
      <c r="E60" s="171"/>
      <c r="F60" s="194"/>
      <c r="G60" s="194"/>
      <c r="H60" s="205"/>
      <c r="I60" s="213"/>
      <c r="J60" s="158">
        <f t="shared" si="1"/>
        <v>0</v>
      </c>
      <c r="K60" s="176">
        <f t="shared" si="4"/>
        <v>0</v>
      </c>
    </row>
    <row r="61" spans="1:13" s="159" customFormat="1" ht="11.25" customHeight="1" x14ac:dyDescent="0.2">
      <c r="A61" s="296" t="s">
        <v>68</v>
      </c>
      <c r="B61" s="919" t="s">
        <v>366</v>
      </c>
      <c r="C61" s="920"/>
      <c r="D61" s="307"/>
      <c r="E61" s="371">
        <f>E59-E60</f>
        <v>0</v>
      </c>
      <c r="F61" s="330"/>
      <c r="G61" s="331"/>
      <c r="H61" s="332"/>
      <c r="I61" s="332"/>
      <c r="J61" s="158">
        <f t="shared" si="1"/>
        <v>0</v>
      </c>
      <c r="K61" s="176">
        <f t="shared" si="4"/>
        <v>0</v>
      </c>
    </row>
    <row r="62" spans="1:13" s="159" customFormat="1" ht="11.25" customHeight="1" x14ac:dyDescent="0.2">
      <c r="A62" s="288" t="s">
        <v>284</v>
      </c>
      <c r="B62" s="290" t="s">
        <v>283</v>
      </c>
      <c r="C62" s="292"/>
      <c r="D62" s="306"/>
      <c r="E62" s="218">
        <v>0</v>
      </c>
      <c r="F62" s="213"/>
      <c r="G62" s="219"/>
      <c r="H62" s="219"/>
      <c r="I62" s="213"/>
      <c r="J62" s="158">
        <f t="shared" si="1"/>
        <v>0</v>
      </c>
      <c r="K62" s="176">
        <f t="shared" si="4"/>
        <v>0</v>
      </c>
    </row>
    <row r="63" spans="1:13" s="159" customFormat="1" ht="11.25" customHeight="1" x14ac:dyDescent="0.2">
      <c r="A63" s="288" t="s">
        <v>286</v>
      </c>
      <c r="B63" s="290" t="s">
        <v>285</v>
      </c>
      <c r="C63" s="292"/>
      <c r="D63" s="306"/>
      <c r="E63" s="218">
        <v>0</v>
      </c>
      <c r="F63" s="213"/>
      <c r="G63" s="219"/>
      <c r="H63" s="219"/>
      <c r="I63" s="213"/>
      <c r="J63" s="158">
        <f t="shared" si="1"/>
        <v>0</v>
      </c>
      <c r="K63" s="176">
        <f t="shared" si="4"/>
        <v>0</v>
      </c>
    </row>
    <row r="64" spans="1:13" s="159" customFormat="1" ht="11.25" customHeight="1" x14ac:dyDescent="0.2">
      <c r="A64" s="296" t="s">
        <v>291</v>
      </c>
      <c r="B64" s="367" t="s">
        <v>287</v>
      </c>
      <c r="C64" s="297"/>
      <c r="D64" s="307"/>
      <c r="E64" s="371">
        <v>0</v>
      </c>
      <c r="F64" s="330"/>
      <c r="G64" s="331"/>
      <c r="H64" s="332"/>
      <c r="I64" s="332"/>
      <c r="J64" s="158">
        <f t="shared" si="1"/>
        <v>0</v>
      </c>
      <c r="K64" s="176">
        <f t="shared" si="4"/>
        <v>0</v>
      </c>
    </row>
    <row r="65" spans="1:13" s="159" customFormat="1" ht="17.25" customHeight="1" x14ac:dyDescent="0.2">
      <c r="A65" s="917" t="s">
        <v>288</v>
      </c>
      <c r="B65" s="917"/>
      <c r="C65" s="917"/>
      <c r="D65" s="192"/>
      <c r="E65" s="224"/>
      <c r="F65" s="225" t="s">
        <v>289</v>
      </c>
      <c r="G65" s="355"/>
      <c r="H65" s="301"/>
      <c r="I65" s="355" t="s">
        <v>290</v>
      </c>
      <c r="J65" s="158">
        <f t="shared" ref="J65" si="5">+D65*$E$6-E65</f>
        <v>0</v>
      </c>
      <c r="K65" s="176">
        <f t="shared" ref="K65:K66" si="6">+D65*$E$6-E65</f>
        <v>0</v>
      </c>
    </row>
    <row r="66" spans="1:13" s="157" customFormat="1" ht="13.5" customHeight="1" x14ac:dyDescent="0.2">
      <c r="A66" s="287" t="s">
        <v>292</v>
      </c>
      <c r="B66" s="916" t="s">
        <v>379</v>
      </c>
      <c r="C66" s="916"/>
      <c r="D66" s="200">
        <f>D35</f>
        <v>412994.76466699992</v>
      </c>
      <c r="E66" s="200">
        <f>E35</f>
        <v>2591780.4462646381</v>
      </c>
      <c r="F66" s="194"/>
      <c r="G66" s="194"/>
      <c r="H66" s="205"/>
      <c r="I66" s="170"/>
      <c r="J66" s="158">
        <f>+D66*$E$6-E66</f>
        <v>0</v>
      </c>
      <c r="K66" s="176">
        <f t="shared" si="6"/>
        <v>0</v>
      </c>
    </row>
    <row r="67" spans="1:13" s="157" customFormat="1" ht="12.75" customHeight="1" x14ac:dyDescent="0.2">
      <c r="A67" s="287" t="s">
        <v>294</v>
      </c>
      <c r="B67" s="916" t="s">
        <v>293</v>
      </c>
      <c r="C67" s="916"/>
      <c r="D67" s="200">
        <f>D54</f>
        <v>74825.450000000012</v>
      </c>
      <c r="E67" s="200">
        <f>E54</f>
        <v>469572.87303464999</v>
      </c>
      <c r="F67" s="194"/>
      <c r="G67" s="194"/>
      <c r="H67" s="227"/>
      <c r="I67" s="228"/>
      <c r="J67" s="158">
        <f t="shared" si="1"/>
        <v>0</v>
      </c>
      <c r="K67" s="176">
        <f t="shared" si="4"/>
        <v>0</v>
      </c>
    </row>
    <row r="68" spans="1:13" s="157" customFormat="1" ht="12.75" customHeight="1" x14ac:dyDescent="0.2">
      <c r="A68" s="287" t="s">
        <v>295</v>
      </c>
      <c r="B68" s="916" t="s">
        <v>22</v>
      </c>
      <c r="C68" s="916"/>
      <c r="D68" s="200">
        <f>D32</f>
        <v>82187.42</v>
      </c>
      <c r="E68" s="200">
        <f>E32</f>
        <v>515773.48264134</v>
      </c>
      <c r="F68" s="194"/>
      <c r="G68" s="194"/>
      <c r="H68" s="230"/>
      <c r="I68" s="231"/>
      <c r="J68" s="158">
        <f t="shared" si="1"/>
        <v>0</v>
      </c>
      <c r="K68" s="176">
        <f t="shared" si="4"/>
        <v>0</v>
      </c>
    </row>
    <row r="69" spans="1:13" s="157" customFormat="1" ht="13.5" customHeight="1" x14ac:dyDescent="0.2">
      <c r="A69" s="287" t="s">
        <v>296</v>
      </c>
      <c r="B69" s="916" t="s">
        <v>18</v>
      </c>
      <c r="C69" s="916"/>
      <c r="D69" s="200">
        <f>D28</f>
        <v>2300.91</v>
      </c>
      <c r="E69" s="232">
        <f>E28</f>
        <v>14439.53787507</v>
      </c>
      <c r="F69" s="194"/>
      <c r="G69" s="194"/>
      <c r="H69" s="230"/>
      <c r="I69" s="233"/>
      <c r="J69" s="158">
        <f>+D69*$E$6-E69</f>
        <v>0</v>
      </c>
      <c r="K69" s="176">
        <f>+D69*$E$6-E69</f>
        <v>0</v>
      </c>
    </row>
    <row r="70" spans="1:13" s="157" customFormat="1" ht="11.25" customHeight="1" x14ac:dyDescent="0.2">
      <c r="A70" s="287" t="s">
        <v>298</v>
      </c>
      <c r="B70" s="916" t="s">
        <v>297</v>
      </c>
      <c r="C70" s="916"/>
      <c r="D70" s="234">
        <v>0</v>
      </c>
      <c r="E70" s="234">
        <v>0</v>
      </c>
      <c r="F70" s="194"/>
      <c r="G70" s="194"/>
      <c r="H70" s="230"/>
      <c r="I70" s="235"/>
      <c r="J70" s="158">
        <f t="shared" si="1"/>
        <v>0</v>
      </c>
      <c r="K70" s="176">
        <f t="shared" si="4"/>
        <v>0</v>
      </c>
    </row>
    <row r="71" spans="1:13" s="157" customFormat="1" ht="11.25" customHeight="1" x14ac:dyDescent="0.2">
      <c r="A71" s="287" t="s">
        <v>300</v>
      </c>
      <c r="B71" s="916" t="s">
        <v>299</v>
      </c>
      <c r="C71" s="916"/>
      <c r="D71" s="234">
        <v>0</v>
      </c>
      <c r="E71" s="234">
        <v>0</v>
      </c>
      <c r="F71" s="194"/>
      <c r="G71" s="194"/>
      <c r="H71" s="230"/>
      <c r="I71" s="233"/>
      <c r="J71" s="158">
        <f t="shared" si="1"/>
        <v>0</v>
      </c>
      <c r="K71" s="176"/>
    </row>
    <row r="72" spans="1:13" s="157" customFormat="1" ht="11.25" customHeight="1" x14ac:dyDescent="0.2">
      <c r="A72" s="287" t="s">
        <v>389</v>
      </c>
      <c r="B72" s="287" t="s">
        <v>137</v>
      </c>
      <c r="C72" s="287"/>
      <c r="D72" s="234"/>
      <c r="E72" s="171">
        <f>D72*$E$6</f>
        <v>0</v>
      </c>
      <c r="F72" s="205"/>
      <c r="G72" s="209"/>
      <c r="H72" s="238"/>
      <c r="I72" s="239"/>
      <c r="J72" s="158"/>
      <c r="K72" s="176"/>
    </row>
    <row r="73" spans="1:13" s="157" customFormat="1" ht="11.25" customHeight="1" x14ac:dyDescent="0.2">
      <c r="A73" s="287"/>
      <c r="B73" s="287" t="s">
        <v>390</v>
      </c>
      <c r="C73" s="287"/>
      <c r="D73" s="234">
        <v>0</v>
      </c>
      <c r="E73" s="171">
        <f>D73*$E$6</f>
        <v>0</v>
      </c>
      <c r="F73" s="205"/>
      <c r="G73" s="209"/>
      <c r="H73" s="238"/>
      <c r="I73" s="239"/>
      <c r="J73" s="158"/>
      <c r="K73" s="176"/>
    </row>
    <row r="74" spans="1:13" s="159" customFormat="1" ht="15" customHeight="1" x14ac:dyDescent="0.2">
      <c r="A74" s="185"/>
      <c r="B74" s="904" t="s">
        <v>301</v>
      </c>
      <c r="C74" s="905"/>
      <c r="D74" s="328">
        <f>D66-D67-D68-D69-D70-D71+D73+D72</f>
        <v>253680.98466699992</v>
      </c>
      <c r="E74" s="328">
        <f>E66-E67-E68-E69-E70-E71+E73+E72</f>
        <v>1591994.5527135781</v>
      </c>
      <c r="F74" s="240"/>
      <c r="G74" s="906"/>
      <c r="H74" s="907"/>
      <c r="I74" s="908"/>
      <c r="J74" s="158">
        <f t="shared" si="1"/>
        <v>0</v>
      </c>
      <c r="K74" s="176">
        <f t="shared" si="4"/>
        <v>0</v>
      </c>
      <c r="L74" s="176">
        <f>D66-D67-D68-D69-D70-D71-D74+D73+D72</f>
        <v>0</v>
      </c>
      <c r="M74" s="176">
        <f>E66-E67-E68-E69-E70-E71-E74+E73+E72</f>
        <v>0</v>
      </c>
    </row>
    <row r="75" spans="1:13" s="246" customFormat="1" ht="12" customHeight="1" x14ac:dyDescent="0.2">
      <c r="A75" s="287" t="s">
        <v>387</v>
      </c>
      <c r="B75" s="298" t="s">
        <v>196</v>
      </c>
      <c r="C75" s="293"/>
      <c r="D75" s="56"/>
      <c r="E75" s="365"/>
      <c r="F75" s="56"/>
      <c r="G75" s="244"/>
      <c r="H75" s="299"/>
      <c r="I75" s="300"/>
      <c r="J75" s="158">
        <f t="shared" si="1"/>
        <v>0</v>
      </c>
    </row>
    <row r="76" spans="1:13" s="246" customFormat="1" ht="14.25" customHeight="1" x14ac:dyDescent="0.2">
      <c r="A76" s="185"/>
      <c r="B76" s="904" t="s">
        <v>197</v>
      </c>
      <c r="C76" s="905"/>
      <c r="D76" s="328">
        <f>+D74+D75</f>
        <v>253680.98466699992</v>
      </c>
      <c r="E76" s="328">
        <f>+E74+E75</f>
        <v>1591994.5527135781</v>
      </c>
      <c r="F76" s="240"/>
      <c r="G76" s="906"/>
      <c r="H76" s="907"/>
      <c r="I76" s="908"/>
      <c r="J76" s="158">
        <f>+D76*$E$6-E76</f>
        <v>0</v>
      </c>
    </row>
    <row r="77" spans="1:13" s="322" customFormat="1" ht="11.25" customHeight="1" x14ac:dyDescent="0.2">
      <c r="A77" s="293"/>
      <c r="B77" s="293"/>
      <c r="C77" s="293"/>
      <c r="D77" s="318"/>
      <c r="E77" s="318"/>
      <c r="F77" s="319"/>
      <c r="G77" s="319"/>
      <c r="H77" s="320"/>
      <c r="I77" s="320"/>
      <c r="J77" s="321"/>
    </row>
    <row r="78" spans="1:13" s="159" customFormat="1" ht="34.5" customHeight="1" x14ac:dyDescent="0.2">
      <c r="A78" s="289"/>
      <c r="B78" s="291" t="s">
        <v>303</v>
      </c>
      <c r="C78" s="294" t="s">
        <v>304</v>
      </c>
      <c r="D78" s="313" t="s">
        <v>305</v>
      </c>
      <c r="E78" s="314" t="s">
        <v>306</v>
      </c>
      <c r="F78" s="314" t="s">
        <v>307</v>
      </c>
      <c r="G78" s="315" t="s">
        <v>308</v>
      </c>
      <c r="H78" s="316"/>
      <c r="I78" s="317"/>
      <c r="J78" s="158"/>
    </row>
    <row r="79" spans="1:13" s="157" customFormat="1" ht="11.25" customHeight="1" x14ac:dyDescent="0.2">
      <c r="A79" s="333">
        <v>57</v>
      </c>
      <c r="B79" s="333" t="s">
        <v>309</v>
      </c>
      <c r="C79" s="336">
        <v>102</v>
      </c>
      <c r="D79" s="337">
        <f>C79/$C$87</f>
        <v>0.29142857142857143</v>
      </c>
      <c r="E79" s="338">
        <v>5457925.5099999998</v>
      </c>
      <c r="F79" s="338">
        <v>5260117.05</v>
      </c>
      <c r="G79" s="896">
        <f>F79/$F$87</f>
        <v>0.21440157546597854</v>
      </c>
      <c r="H79" s="897"/>
      <c r="I79" s="898"/>
      <c r="J79" s="158"/>
    </row>
    <row r="80" spans="1:13" s="157" customFormat="1" ht="11.25" customHeight="1" x14ac:dyDescent="0.2">
      <c r="A80" s="333">
        <v>58</v>
      </c>
      <c r="B80" s="333" t="s">
        <v>310</v>
      </c>
      <c r="C80" s="144">
        <v>19</v>
      </c>
      <c r="D80" s="337">
        <f t="shared" ref="D80:D86" si="7">C80/$C$87</f>
        <v>5.4285714285714284E-2</v>
      </c>
      <c r="E80" s="338">
        <v>890844.83</v>
      </c>
      <c r="F80" s="338">
        <v>884095.42</v>
      </c>
      <c r="G80" s="896">
        <f t="shared" ref="G80:G86" si="8">F80/$F$87</f>
        <v>3.6035595616689939E-2</v>
      </c>
      <c r="H80" s="897"/>
      <c r="I80" s="898"/>
      <c r="J80" s="158"/>
      <c r="M80" s="229"/>
    </row>
    <row r="81" spans="1:15" s="157" customFormat="1" ht="11.25" customHeight="1" x14ac:dyDescent="0.2">
      <c r="A81" s="333">
        <v>59</v>
      </c>
      <c r="B81" s="333" t="s">
        <v>311</v>
      </c>
      <c r="C81" s="336">
        <v>13</v>
      </c>
      <c r="D81" s="337">
        <f t="shared" si="7"/>
        <v>3.7142857142857144E-2</v>
      </c>
      <c r="E81" s="338">
        <v>844430.13</v>
      </c>
      <c r="F81" s="338">
        <v>840161.51</v>
      </c>
      <c r="G81" s="896">
        <f t="shared" si="8"/>
        <v>3.4244856089252901E-2</v>
      </c>
      <c r="H81" s="897"/>
      <c r="I81" s="898"/>
      <c r="J81" s="158"/>
    </row>
    <row r="82" spans="1:15" s="157" customFormat="1" ht="11.25" customHeight="1" x14ac:dyDescent="0.2">
      <c r="A82" s="333">
        <v>60</v>
      </c>
      <c r="B82" s="333" t="s">
        <v>312</v>
      </c>
      <c r="C82" s="336">
        <v>6</v>
      </c>
      <c r="D82" s="337">
        <f t="shared" si="7"/>
        <v>1.7142857142857144E-2</v>
      </c>
      <c r="E82" s="338">
        <v>375756.4</v>
      </c>
      <c r="F82" s="338">
        <v>374722.89</v>
      </c>
      <c r="G82" s="896">
        <f t="shared" si="8"/>
        <v>1.527364832673535E-2</v>
      </c>
      <c r="H82" s="897"/>
      <c r="I82" s="898"/>
      <c r="J82" s="158"/>
    </row>
    <row r="83" spans="1:15" s="157" customFormat="1" ht="11.25" customHeight="1" x14ac:dyDescent="0.2">
      <c r="A83" s="333">
        <v>61</v>
      </c>
      <c r="B83" s="333" t="s">
        <v>313</v>
      </c>
      <c r="C83" s="144">
        <v>7</v>
      </c>
      <c r="D83" s="337">
        <f t="shared" si="7"/>
        <v>0.02</v>
      </c>
      <c r="E83" s="338">
        <v>473879.37</v>
      </c>
      <c r="F83" s="338">
        <v>472784.64000000001</v>
      </c>
      <c r="G83" s="896">
        <f t="shared" si="8"/>
        <v>1.9270630426772635E-2</v>
      </c>
      <c r="H83" s="897"/>
      <c r="I83" s="898"/>
      <c r="J83" s="158"/>
      <c r="L83" s="158"/>
    </row>
    <row r="84" spans="1:15" s="157" customFormat="1" ht="11.25" customHeight="1" x14ac:dyDescent="0.2">
      <c r="A84" s="333">
        <v>62</v>
      </c>
      <c r="B84" s="333" t="s">
        <v>314</v>
      </c>
      <c r="C84" s="144">
        <v>4</v>
      </c>
      <c r="D84" s="337">
        <f t="shared" si="7"/>
        <v>1.1428571428571429E-2</v>
      </c>
      <c r="E84" s="338">
        <v>186918.87</v>
      </c>
      <c r="F84" s="338">
        <v>186750.24</v>
      </c>
      <c r="G84" s="896">
        <f t="shared" si="8"/>
        <v>7.6119115400007315E-3</v>
      </c>
      <c r="H84" s="897"/>
      <c r="I84" s="898"/>
      <c r="J84" s="158"/>
    </row>
    <row r="85" spans="1:15" s="157" customFormat="1" ht="11.25" customHeight="1" x14ac:dyDescent="0.2">
      <c r="A85" s="333">
        <v>63</v>
      </c>
      <c r="B85" s="333" t="s">
        <v>315</v>
      </c>
      <c r="C85" s="144">
        <v>12</v>
      </c>
      <c r="D85" s="337">
        <f t="shared" si="7"/>
        <v>3.4285714285714287E-2</v>
      </c>
      <c r="E85" s="338">
        <v>731320.64</v>
      </c>
      <c r="F85" s="338">
        <v>729629.17</v>
      </c>
      <c r="G85" s="896">
        <f t="shared" si="8"/>
        <v>2.9739574626753661E-2</v>
      </c>
      <c r="H85" s="897"/>
      <c r="I85" s="898"/>
      <c r="J85" s="158"/>
    </row>
    <row r="86" spans="1:15" s="157" customFormat="1" ht="11.25" customHeight="1" x14ac:dyDescent="0.2">
      <c r="A86" s="333">
        <v>64</v>
      </c>
      <c r="B86" s="333" t="s">
        <v>316</v>
      </c>
      <c r="C86" s="144">
        <v>187</v>
      </c>
      <c r="D86" s="337">
        <f t="shared" si="7"/>
        <v>0.53428571428571425</v>
      </c>
      <c r="E86" s="338">
        <v>15788659.67</v>
      </c>
      <c r="F86" s="338">
        <v>15785686.83</v>
      </c>
      <c r="G86" s="896">
        <f t="shared" si="8"/>
        <v>0.64342220790781623</v>
      </c>
      <c r="H86" s="897"/>
      <c r="I86" s="898"/>
      <c r="J86" s="158"/>
    </row>
    <row r="87" spans="1:15" s="159" customFormat="1" ht="14.25" customHeight="1" x14ac:dyDescent="0.25">
      <c r="A87" s="334"/>
      <c r="B87" s="335" t="s">
        <v>318</v>
      </c>
      <c r="C87" s="339">
        <f>SUM(C79:C86)</f>
        <v>350</v>
      </c>
      <c r="D87" s="340">
        <f>SUM(D79:D86)</f>
        <v>1</v>
      </c>
      <c r="E87" s="341">
        <f>SUM(E79:E86)</f>
        <v>24749735.420000002</v>
      </c>
      <c r="F87" s="341">
        <f>SUM(F79:F86)</f>
        <v>24533947.75</v>
      </c>
      <c r="G87" s="899">
        <f>SUM(G79:I86)</f>
        <v>1</v>
      </c>
      <c r="H87" s="900"/>
      <c r="I87" s="901"/>
      <c r="J87" s="158"/>
      <c r="K87" s="176">
        <f>+E87-D8</f>
        <v>0</v>
      </c>
      <c r="L87" s="261">
        <f>+F87-D13</f>
        <v>0.19999999552965164</v>
      </c>
    </row>
    <row r="88" spans="1:15" s="159" customFormat="1" ht="35.25" customHeight="1" x14ac:dyDescent="0.25">
      <c r="A88" s="250"/>
      <c r="B88" s="251"/>
      <c r="C88" s="252" t="s">
        <v>319</v>
      </c>
      <c r="D88" s="342" t="s">
        <v>320</v>
      </c>
      <c r="E88" s="254" t="s">
        <v>321</v>
      </c>
      <c r="F88" s="254" t="s">
        <v>322</v>
      </c>
      <c r="G88" s="902" t="s">
        <v>323</v>
      </c>
      <c r="H88" s="903"/>
      <c r="I88" s="263" t="s">
        <v>224</v>
      </c>
      <c r="J88" s="158"/>
    </row>
    <row r="89" spans="1:15" s="157" customFormat="1" ht="11.25" customHeight="1" x14ac:dyDescent="0.2">
      <c r="A89" s="170">
        <v>65</v>
      </c>
      <c r="B89" s="170" t="s">
        <v>325</v>
      </c>
      <c r="C89" s="343">
        <f>SUM(C79:C82)</f>
        <v>140</v>
      </c>
      <c r="D89" s="344">
        <f>SUM(C83:C86)</f>
        <v>210</v>
      </c>
      <c r="E89" s="344">
        <f>SUM(C79:C85)</f>
        <v>163</v>
      </c>
      <c r="F89" s="344">
        <f>C86</f>
        <v>187</v>
      </c>
      <c r="G89" s="912">
        <f>C89+D89</f>
        <v>350</v>
      </c>
      <c r="H89" s="913">
        <f>D86</f>
        <v>0.53428571428571425</v>
      </c>
      <c r="I89" s="345">
        <f>21+D100</f>
        <v>21</v>
      </c>
      <c r="J89" s="158"/>
      <c r="K89" s="176">
        <f>SUM(C79:C82)-C89</f>
        <v>0</v>
      </c>
      <c r="L89" s="176">
        <f>SUM(C83:C86)-D89</f>
        <v>0</v>
      </c>
      <c r="M89" s="176">
        <f>SUM(C79:C85)-E89</f>
        <v>0</v>
      </c>
      <c r="N89" s="176">
        <f>C86-F89</f>
        <v>0</v>
      </c>
      <c r="O89" s="176">
        <f>+C87-G89</f>
        <v>0</v>
      </c>
    </row>
    <row r="90" spans="1:15" s="157" customFormat="1" ht="11.25" customHeight="1" x14ac:dyDescent="0.2">
      <c r="A90" s="170">
        <v>66</v>
      </c>
      <c r="B90" s="170" t="s">
        <v>327</v>
      </c>
      <c r="C90" s="346">
        <f>SUM(F79:F82)</f>
        <v>7359096.8699999992</v>
      </c>
      <c r="D90" s="347">
        <f>SUM(F83:F86)</f>
        <v>17174850.879999999</v>
      </c>
      <c r="E90" s="347">
        <f>SUM(F79:F85)</f>
        <v>8748260.9199999999</v>
      </c>
      <c r="F90" s="347">
        <f>F86</f>
        <v>15785686.83</v>
      </c>
      <c r="G90" s="914">
        <f>C90+D90</f>
        <v>24533947.75</v>
      </c>
      <c r="H90" s="914">
        <f>D87</f>
        <v>1</v>
      </c>
      <c r="I90" s="348">
        <f>1846561.97+E100</f>
        <v>1846561.97</v>
      </c>
      <c r="J90" s="268"/>
      <c r="K90" s="176">
        <f>SUM(F79:F82)-C90</f>
        <v>0</v>
      </c>
      <c r="L90" s="176">
        <f>SUM(F83:F86)-D90</f>
        <v>0</v>
      </c>
      <c r="M90" s="176">
        <f>SUM(F79:F85)-E90</f>
        <v>0</v>
      </c>
      <c r="N90" s="176">
        <f>F86-F90</f>
        <v>0</v>
      </c>
      <c r="O90" s="176">
        <f>+F87-G90</f>
        <v>0</v>
      </c>
    </row>
    <row r="91" spans="1:15" s="157" customFormat="1" ht="11.25" customHeight="1" x14ac:dyDescent="0.2">
      <c r="A91" s="170">
        <v>67</v>
      </c>
      <c r="B91" s="170" t="s">
        <v>329</v>
      </c>
      <c r="C91" s="349">
        <f>+C90/G90</f>
        <v>0.2999556754986567</v>
      </c>
      <c r="D91" s="350">
        <f>+D90/G90</f>
        <v>0.70004432450134324</v>
      </c>
      <c r="E91" s="350">
        <f>+E90/G90</f>
        <v>0.35657779209218377</v>
      </c>
      <c r="F91" s="350">
        <f>+F90/G90</f>
        <v>0.64342220790781623</v>
      </c>
      <c r="G91" s="915">
        <v>0.99999999999999911</v>
      </c>
      <c r="H91" s="915">
        <v>0.99999999999999911</v>
      </c>
      <c r="I91" s="351"/>
      <c r="J91" s="158"/>
      <c r="K91" s="176">
        <f>SUM(G79:I82)-C91</f>
        <v>0</v>
      </c>
      <c r="L91" s="176">
        <f>SUM(G83:I86)-D91</f>
        <v>0</v>
      </c>
      <c r="M91" s="176">
        <f>SUM(G79:I85)-E91</f>
        <v>0</v>
      </c>
      <c r="N91" s="176">
        <f>G86-F91</f>
        <v>0</v>
      </c>
      <c r="O91" s="176">
        <f>+G87-G91</f>
        <v>0</v>
      </c>
    </row>
    <row r="92" spans="1:15" s="157" customFormat="1" ht="11.25" customHeight="1" x14ac:dyDescent="0.2">
      <c r="A92" s="170">
        <v>68</v>
      </c>
      <c r="B92" s="170" t="s">
        <v>331</v>
      </c>
      <c r="C92" s="346">
        <v>20335.78</v>
      </c>
      <c r="D92" s="347">
        <v>10183117.58</v>
      </c>
      <c r="E92" s="347">
        <v>72344.86</v>
      </c>
      <c r="F92" s="347">
        <v>10131108.5</v>
      </c>
      <c r="G92" s="914">
        <f>C92+D92</f>
        <v>10203453.359999999</v>
      </c>
      <c r="H92" s="914">
        <f>D89</f>
        <v>210</v>
      </c>
      <c r="I92" s="205"/>
      <c r="J92" s="158"/>
    </row>
    <row r="93" spans="1:15" s="157" customFormat="1" ht="11.25" customHeight="1" x14ac:dyDescent="0.2">
      <c r="A93" s="170">
        <v>69</v>
      </c>
      <c r="B93" s="170" t="s">
        <v>22</v>
      </c>
      <c r="C93" s="346">
        <v>82187.42</v>
      </c>
      <c r="D93" s="347">
        <v>0</v>
      </c>
      <c r="E93" s="346">
        <v>82187.42</v>
      </c>
      <c r="F93" s="347">
        <v>0</v>
      </c>
      <c r="G93" s="914">
        <f>C93+D93</f>
        <v>82187.42</v>
      </c>
      <c r="H93" s="914">
        <f>D90</f>
        <v>17174850.879999999</v>
      </c>
      <c r="I93" s="170"/>
      <c r="J93" s="158"/>
    </row>
    <row r="94" spans="1:15" s="157" customFormat="1" ht="13.5" customHeight="1" x14ac:dyDescent="0.2">
      <c r="A94" s="170">
        <v>70</v>
      </c>
      <c r="B94" s="272" t="s">
        <v>334</v>
      </c>
      <c r="C94" s="346">
        <v>8706.41</v>
      </c>
      <c r="D94" s="347">
        <v>3684456.81</v>
      </c>
      <c r="E94" s="347">
        <v>32076.31</v>
      </c>
      <c r="F94" s="347">
        <v>3661086.91</v>
      </c>
      <c r="G94" s="914">
        <f>C94+D94</f>
        <v>3693163.22</v>
      </c>
      <c r="H94" s="914">
        <f>D91</f>
        <v>0.70004432450134324</v>
      </c>
      <c r="I94" s="170"/>
      <c r="J94" s="158"/>
    </row>
    <row r="95" spans="1:15" s="159" customFormat="1" ht="11.25" customHeight="1" x14ac:dyDescent="0.2">
      <c r="A95" s="888"/>
      <c r="B95" s="888"/>
      <c r="C95" s="225"/>
      <c r="D95" s="225" t="s">
        <v>335</v>
      </c>
      <c r="E95" s="225" t="s">
        <v>336</v>
      </c>
      <c r="F95" s="895"/>
      <c r="G95" s="895"/>
      <c r="H95" s="895"/>
      <c r="I95" s="895"/>
      <c r="J95" s="158"/>
    </row>
    <row r="96" spans="1:15" s="159" customFormat="1" ht="11.25" customHeight="1" x14ac:dyDescent="0.2">
      <c r="A96" s="213">
        <v>71</v>
      </c>
      <c r="B96" s="219" t="s">
        <v>338</v>
      </c>
      <c r="C96" s="219"/>
      <c r="D96" s="344">
        <v>142</v>
      </c>
      <c r="E96" s="171">
        <v>12354287.609999999</v>
      </c>
      <c r="F96" s="275"/>
      <c r="G96" s="893"/>
      <c r="H96" s="894"/>
      <c r="I96" s="276"/>
      <c r="J96" s="158"/>
    </row>
    <row r="97" spans="1:12" s="159" customFormat="1" ht="11.25" customHeight="1" x14ac:dyDescent="0.2">
      <c r="A97" s="888"/>
      <c r="B97" s="888"/>
      <c r="C97" s="225"/>
      <c r="D97" s="225" t="s">
        <v>335</v>
      </c>
      <c r="E97" s="225" t="s">
        <v>336</v>
      </c>
      <c r="F97" s="891"/>
      <c r="G97" s="892"/>
      <c r="H97" s="891"/>
      <c r="I97" s="892"/>
      <c r="J97" s="158"/>
      <c r="K97" s="176">
        <f>+D103-C87</f>
        <v>0</v>
      </c>
      <c r="L97" s="176">
        <f>+E103-F87</f>
        <v>-0.19999999925494194</v>
      </c>
    </row>
    <row r="98" spans="1:12" s="159" customFormat="1" ht="11.25" customHeight="1" x14ac:dyDescent="0.2">
      <c r="A98" s="213">
        <v>72</v>
      </c>
      <c r="B98" s="219" t="s">
        <v>340</v>
      </c>
      <c r="C98" s="219"/>
      <c r="D98" s="352">
        <v>351</v>
      </c>
      <c r="E98" s="366">
        <v>24749735.420000002</v>
      </c>
      <c r="F98" s="213"/>
      <c r="G98" s="893"/>
      <c r="H98" s="894"/>
      <c r="I98" s="372"/>
      <c r="J98" s="158"/>
      <c r="K98" s="157"/>
    </row>
    <row r="99" spans="1:12" s="157" customFormat="1" ht="11.25" customHeight="1" x14ac:dyDescent="0.2">
      <c r="A99" s="213">
        <v>73</v>
      </c>
      <c r="B99" s="219" t="s">
        <v>342</v>
      </c>
      <c r="C99" s="219"/>
      <c r="D99" s="352">
        <v>1</v>
      </c>
      <c r="E99" s="338">
        <v>57552.26</v>
      </c>
      <c r="F99" s="205"/>
      <c r="G99" s="889"/>
      <c r="H99" s="890"/>
      <c r="I99" s="373"/>
      <c r="J99" s="158"/>
    </row>
    <row r="100" spans="1:12" s="157" customFormat="1" ht="11.25" customHeight="1" x14ac:dyDescent="0.2">
      <c r="A100" s="213">
        <v>74</v>
      </c>
      <c r="B100" s="219" t="s">
        <v>224</v>
      </c>
      <c r="C100" s="219"/>
      <c r="D100" s="352">
        <v>0</v>
      </c>
      <c r="E100" s="338">
        <v>0</v>
      </c>
      <c r="F100" s="213"/>
      <c r="G100" s="890"/>
      <c r="H100" s="890"/>
      <c r="I100" s="373"/>
      <c r="J100" s="158"/>
      <c r="K100" s="176"/>
    </row>
    <row r="101" spans="1:12" s="157" customFormat="1" ht="11.25" customHeight="1" x14ac:dyDescent="0.2">
      <c r="A101" s="213">
        <v>75</v>
      </c>
      <c r="B101" s="219" t="s">
        <v>345</v>
      </c>
      <c r="C101" s="219"/>
      <c r="D101" s="352">
        <v>0</v>
      </c>
      <c r="E101" s="153">
        <v>0</v>
      </c>
      <c r="F101" s="213"/>
      <c r="G101" s="910"/>
      <c r="H101" s="910"/>
      <c r="I101" s="373"/>
      <c r="J101" s="158"/>
      <c r="K101" s="176"/>
    </row>
    <row r="102" spans="1:12" s="157" customFormat="1" ht="11.25" customHeight="1" x14ac:dyDescent="0.2">
      <c r="A102" s="213">
        <v>76</v>
      </c>
      <c r="B102" s="219" t="s">
        <v>347</v>
      </c>
      <c r="C102" s="219"/>
      <c r="D102" s="352">
        <v>0</v>
      </c>
      <c r="E102" s="153">
        <v>0</v>
      </c>
      <c r="F102" s="275"/>
      <c r="G102" s="889"/>
      <c r="H102" s="890"/>
      <c r="I102" s="373"/>
      <c r="J102" s="158"/>
      <c r="K102" s="176"/>
    </row>
    <row r="103" spans="1:12" s="157" customFormat="1" ht="11.25" customHeight="1" x14ac:dyDescent="0.2">
      <c r="A103" s="213">
        <v>77</v>
      </c>
      <c r="B103" s="219" t="s">
        <v>349</v>
      </c>
      <c r="C103" s="219"/>
      <c r="D103" s="352">
        <f>D98-D99+D101-D102-D100</f>
        <v>350</v>
      </c>
      <c r="E103" s="56">
        <v>24533947.550000001</v>
      </c>
      <c r="F103" s="275"/>
      <c r="G103" s="889"/>
      <c r="H103" s="890"/>
      <c r="I103" s="373"/>
      <c r="J103" s="158"/>
      <c r="K103" s="176"/>
    </row>
    <row r="104" spans="1:12" s="159" customFormat="1" ht="11.25" customHeight="1" x14ac:dyDescent="0.2">
      <c r="A104" s="370"/>
      <c r="B104" s="888"/>
      <c r="C104" s="888"/>
      <c r="D104" s="225"/>
      <c r="E104" s="353" t="s">
        <v>350</v>
      </c>
      <c r="F104" s="225"/>
      <c r="G104" s="895"/>
      <c r="H104" s="895"/>
      <c r="I104" s="374"/>
      <c r="J104" s="158"/>
      <c r="K104" s="158"/>
      <c r="L104" s="157"/>
    </row>
    <row r="105" spans="1:12" s="157" customFormat="1" ht="11.25" customHeight="1" x14ac:dyDescent="0.2">
      <c r="A105" s="213">
        <v>78</v>
      </c>
      <c r="B105" s="170" t="s">
        <v>352</v>
      </c>
      <c r="C105" s="279"/>
      <c r="D105" s="279"/>
      <c r="E105" s="56">
        <v>-8830160.6300000008</v>
      </c>
      <c r="F105" s="280"/>
      <c r="G105" s="281"/>
      <c r="H105" s="911"/>
      <c r="I105" s="911"/>
      <c r="J105" s="158"/>
      <c r="K105" s="158"/>
    </row>
    <row r="106" spans="1:12" s="157" customFormat="1" ht="11.25" customHeight="1" x14ac:dyDescent="0.2">
      <c r="A106" s="213">
        <v>79</v>
      </c>
      <c r="B106" s="170" t="s">
        <v>354</v>
      </c>
      <c r="C106" s="279"/>
      <c r="D106" s="279"/>
      <c r="E106" s="354">
        <f>F87+I90</f>
        <v>26380509.719999999</v>
      </c>
      <c r="F106" s="348"/>
      <c r="G106" s="283"/>
      <c r="H106" s="911"/>
      <c r="I106" s="911"/>
      <c r="J106" s="158"/>
      <c r="K106" s="158"/>
      <c r="L106" s="176"/>
    </row>
    <row r="107" spans="1:12" s="157" customFormat="1" ht="12" x14ac:dyDescent="0.2">
      <c r="A107" s="308"/>
      <c r="B107" s="309"/>
      <c r="C107" s="309"/>
      <c r="D107" s="310"/>
      <c r="E107" s="311"/>
      <c r="F107" s="312"/>
      <c r="G107" s="308"/>
      <c r="H107" s="308"/>
      <c r="I107" s="308"/>
      <c r="J107" s="158"/>
      <c r="K107" s="158"/>
    </row>
    <row r="108" spans="1:12" x14ac:dyDescent="0.2">
      <c r="A108" s="308"/>
      <c r="B108" s="309"/>
      <c r="C108" s="309"/>
      <c r="D108" s="310"/>
      <c r="E108" s="311"/>
      <c r="F108" s="312"/>
      <c r="G108" s="308"/>
      <c r="H108" s="308"/>
      <c r="I108" s="308"/>
    </row>
    <row r="109" spans="1:12" x14ac:dyDescent="0.2">
      <c r="A109" s="308"/>
      <c r="B109" s="309"/>
      <c r="C109" s="309"/>
      <c r="D109" s="310"/>
      <c r="E109" s="311"/>
      <c r="F109" s="312"/>
      <c r="G109" s="308"/>
      <c r="H109" s="308"/>
      <c r="I109" s="308"/>
    </row>
    <row r="110" spans="1:12" x14ac:dyDescent="0.2">
      <c r="A110" s="308"/>
      <c r="B110" s="309"/>
      <c r="C110" s="309"/>
      <c r="D110" s="310"/>
      <c r="E110" s="311"/>
      <c r="F110" s="312"/>
      <c r="G110" s="308"/>
      <c r="H110" s="308"/>
      <c r="I110" s="308"/>
    </row>
    <row r="111" spans="1:12" x14ac:dyDescent="0.2">
      <c r="A111" s="157"/>
      <c r="B111" s="157"/>
      <c r="C111" s="157"/>
      <c r="D111" s="157"/>
      <c r="E111" s="229"/>
      <c r="F111" s="157"/>
      <c r="G111" s="157"/>
      <c r="H111" s="157"/>
      <c r="I111" s="157"/>
    </row>
    <row r="112" spans="1:12" ht="24" x14ac:dyDescent="0.2">
      <c r="A112" s="157"/>
      <c r="B112" s="284" t="s">
        <v>355</v>
      </c>
      <c r="C112" s="157"/>
      <c r="D112" s="157"/>
      <c r="E112" s="157"/>
      <c r="F112" s="909" t="s">
        <v>356</v>
      </c>
      <c r="G112" s="909"/>
      <c r="H112" s="909"/>
      <c r="I112" s="157"/>
    </row>
  </sheetData>
  <mergeCells count="104">
    <mergeCell ref="D42:F42"/>
    <mergeCell ref="G42:I42"/>
    <mergeCell ref="A1:I1"/>
    <mergeCell ref="A3:I3"/>
    <mergeCell ref="B8:C8"/>
    <mergeCell ref="B9:C9"/>
    <mergeCell ref="B10:C10"/>
    <mergeCell ref="B11:C11"/>
    <mergeCell ref="B13:C13"/>
    <mergeCell ref="A2:I2"/>
    <mergeCell ref="A4:I4"/>
    <mergeCell ref="B5:C5"/>
    <mergeCell ref="F5:G5"/>
    <mergeCell ref="F6:G6"/>
    <mergeCell ref="A7:C7"/>
    <mergeCell ref="G7:I7"/>
    <mergeCell ref="B19:C19"/>
    <mergeCell ref="B20:C20"/>
    <mergeCell ref="B21:C21"/>
    <mergeCell ref="B22:C22"/>
    <mergeCell ref="G22:I22"/>
    <mergeCell ref="B23:C23"/>
    <mergeCell ref="A14:C14"/>
    <mergeCell ref="G14:I14"/>
    <mergeCell ref="B15:C15"/>
    <mergeCell ref="B16:C16"/>
    <mergeCell ref="B17:C17"/>
    <mergeCell ref="B30:C30"/>
    <mergeCell ref="B31:C31"/>
    <mergeCell ref="B32:C32"/>
    <mergeCell ref="B35:C35"/>
    <mergeCell ref="A36:C36"/>
    <mergeCell ref="B24:C24"/>
    <mergeCell ref="B25:C25"/>
    <mergeCell ref="B28:C28"/>
    <mergeCell ref="B29:C29"/>
    <mergeCell ref="B43:C43"/>
    <mergeCell ref="B44:C44"/>
    <mergeCell ref="B47:C47"/>
    <mergeCell ref="B37:C37"/>
    <mergeCell ref="B38:C38"/>
    <mergeCell ref="B39:C39"/>
    <mergeCell ref="B40:C40"/>
    <mergeCell ref="B41:C41"/>
    <mergeCell ref="A42:C42"/>
    <mergeCell ref="B59:C59"/>
    <mergeCell ref="B60:C60"/>
    <mergeCell ref="B61:C61"/>
    <mergeCell ref="B54:C54"/>
    <mergeCell ref="A55:C55"/>
    <mergeCell ref="B56:C56"/>
    <mergeCell ref="B57:C57"/>
    <mergeCell ref="B58:C58"/>
    <mergeCell ref="B48:C48"/>
    <mergeCell ref="B49:C49"/>
    <mergeCell ref="B50:C50"/>
    <mergeCell ref="B53:C53"/>
    <mergeCell ref="B76:C76"/>
    <mergeCell ref="B69:C69"/>
    <mergeCell ref="B70:C70"/>
    <mergeCell ref="B71:C71"/>
    <mergeCell ref="B74:C74"/>
    <mergeCell ref="A65:C65"/>
    <mergeCell ref="B66:C66"/>
    <mergeCell ref="B67:C67"/>
    <mergeCell ref="B68:C68"/>
    <mergeCell ref="F112:H112"/>
    <mergeCell ref="G100:H100"/>
    <mergeCell ref="G101:H101"/>
    <mergeCell ref="H106:I106"/>
    <mergeCell ref="G89:H89"/>
    <mergeCell ref="G90:H90"/>
    <mergeCell ref="G91:H91"/>
    <mergeCell ref="G92:H92"/>
    <mergeCell ref="G104:H104"/>
    <mergeCell ref="H105:I105"/>
    <mergeCell ref="G93:H93"/>
    <mergeCell ref="G94:H94"/>
    <mergeCell ref="G83:I83"/>
    <mergeCell ref="G84:I84"/>
    <mergeCell ref="G85:I85"/>
    <mergeCell ref="G86:I86"/>
    <mergeCell ref="G87:I87"/>
    <mergeCell ref="G88:H88"/>
    <mergeCell ref="H35:I35"/>
    <mergeCell ref="H54:I54"/>
    <mergeCell ref="G74:I74"/>
    <mergeCell ref="G76:I76"/>
    <mergeCell ref="G79:I79"/>
    <mergeCell ref="G80:I80"/>
    <mergeCell ref="G81:I81"/>
    <mergeCell ref="G82:I82"/>
    <mergeCell ref="B104:C104"/>
    <mergeCell ref="G102:H102"/>
    <mergeCell ref="G103:H103"/>
    <mergeCell ref="A97:B97"/>
    <mergeCell ref="F97:G97"/>
    <mergeCell ref="H97:I97"/>
    <mergeCell ref="G98:H98"/>
    <mergeCell ref="G99:H99"/>
    <mergeCell ref="A95:B95"/>
    <mergeCell ref="F95:G95"/>
    <mergeCell ref="H95:I95"/>
    <mergeCell ref="G96:H96"/>
  </mergeCells>
  <printOptions horizontalCentered="1" verticalCentered="1"/>
  <pageMargins left="0.39370078740157483" right="0.59055118110236227" top="0.59055118110236227" bottom="0.59055118110236227" header="0.51181102362204722" footer="0.51181102362204722"/>
  <pageSetup scale="51" orientation="portrait" horizontalDpi="4294967294" verticalDpi="4294967294" r:id="rId1"/>
  <headerFooter alignWithMargins="0"/>
  <ignoredErrors>
    <ignoredError sqref="E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L69"/>
  <sheetViews>
    <sheetView showGridLines="0" view="pageBreakPreview" topLeftCell="A25" zoomScaleNormal="85" zoomScaleSheetLayoutView="100" workbookViewId="0">
      <selection activeCell="D47" sqref="D47"/>
    </sheetView>
  </sheetViews>
  <sheetFormatPr baseColWidth="10" defaultColWidth="9.140625" defaultRowHeight="13.5" x14ac:dyDescent="0.25"/>
  <cols>
    <col min="1" max="1" width="2.7109375" style="2" customWidth="1"/>
    <col min="2" max="2" width="4.140625" style="2" customWidth="1"/>
    <col min="3" max="3" width="48.7109375" style="2" customWidth="1"/>
    <col min="4" max="4" width="14.28515625" style="4" customWidth="1"/>
    <col min="5" max="5" width="6" style="2" customWidth="1"/>
    <col min="6" max="6" width="9.85546875" style="131" bestFit="1" customWidth="1"/>
    <col min="7" max="7" width="40.7109375" style="369" customWidth="1"/>
    <col min="8" max="8" width="11.42578125" style="369" customWidth="1"/>
    <col min="9" max="9" width="10" style="369" bestFit="1" customWidth="1"/>
    <col min="10" max="10" width="11.85546875" style="464" bestFit="1" customWidth="1"/>
    <col min="11" max="11" width="3.5703125" style="2" customWidth="1"/>
    <col min="12" max="12" width="6.140625" style="2" bestFit="1" customWidth="1"/>
    <col min="13" max="13" width="10.7109375" style="2" bestFit="1" customWidth="1"/>
    <col min="14" max="248" width="9.140625" style="2"/>
    <col min="249" max="249" width="10.28515625" style="2" customWidth="1"/>
    <col min="250" max="250" width="49.42578125" style="2" customWidth="1"/>
    <col min="251" max="251" width="40.140625" style="2" customWidth="1"/>
    <col min="252" max="252" width="14.140625" style="2" customWidth="1"/>
    <col min="253" max="253" width="0" style="2" hidden="1" customWidth="1"/>
    <col min="254" max="254" width="11.42578125" style="2" customWidth="1"/>
    <col min="255" max="255" width="10" style="2" bestFit="1" customWidth="1"/>
    <col min="256" max="261" width="11.42578125" style="2" customWidth="1"/>
    <col min="262" max="264" width="0" style="2" hidden="1" customWidth="1"/>
    <col min="265" max="504" width="9.140625" style="2"/>
    <col min="505" max="505" width="10.28515625" style="2" customWidth="1"/>
    <col min="506" max="506" width="49.42578125" style="2" customWidth="1"/>
    <col min="507" max="507" width="40.140625" style="2" customWidth="1"/>
    <col min="508" max="508" width="14.140625" style="2" customWidth="1"/>
    <col min="509" max="509" width="0" style="2" hidden="1" customWidth="1"/>
    <col min="510" max="510" width="11.42578125" style="2" customWidth="1"/>
    <col min="511" max="511" width="10" style="2" bestFit="1" customWidth="1"/>
    <col min="512" max="517" width="11.42578125" style="2" customWidth="1"/>
    <col min="518" max="520" width="0" style="2" hidden="1" customWidth="1"/>
    <col min="521" max="760" width="9.140625" style="2"/>
    <col min="761" max="761" width="10.28515625" style="2" customWidth="1"/>
    <col min="762" max="762" width="49.42578125" style="2" customWidth="1"/>
    <col min="763" max="763" width="40.140625" style="2" customWidth="1"/>
    <col min="764" max="764" width="14.140625" style="2" customWidth="1"/>
    <col min="765" max="765" width="0" style="2" hidden="1" customWidth="1"/>
    <col min="766" max="766" width="11.42578125" style="2" customWidth="1"/>
    <col min="767" max="767" width="10" style="2" bestFit="1" customWidth="1"/>
    <col min="768" max="773" width="11.42578125" style="2" customWidth="1"/>
    <col min="774" max="776" width="0" style="2" hidden="1" customWidth="1"/>
    <col min="777" max="1016" width="9.140625" style="2"/>
    <col min="1017" max="1017" width="10.28515625" style="2" customWidth="1"/>
    <col min="1018" max="1018" width="49.42578125" style="2" customWidth="1"/>
    <col min="1019" max="1019" width="40.140625" style="2" customWidth="1"/>
    <col min="1020" max="1020" width="14.140625" style="2" customWidth="1"/>
    <col min="1021" max="1021" width="0" style="2" hidden="1" customWidth="1"/>
    <col min="1022" max="1022" width="11.42578125" style="2" customWidth="1"/>
    <col min="1023" max="1023" width="10" style="2" bestFit="1" customWidth="1"/>
    <col min="1024" max="1029" width="11.42578125" style="2" customWidth="1"/>
    <col min="1030" max="1032" width="0" style="2" hidden="1" customWidth="1"/>
    <col min="1033" max="1272" width="9.140625" style="2"/>
    <col min="1273" max="1273" width="10.28515625" style="2" customWidth="1"/>
    <col min="1274" max="1274" width="49.42578125" style="2" customWidth="1"/>
    <col min="1275" max="1275" width="40.140625" style="2" customWidth="1"/>
    <col min="1276" max="1276" width="14.140625" style="2" customWidth="1"/>
    <col min="1277" max="1277" width="0" style="2" hidden="1" customWidth="1"/>
    <col min="1278" max="1278" width="11.42578125" style="2" customWidth="1"/>
    <col min="1279" max="1279" width="10" style="2" bestFit="1" customWidth="1"/>
    <col min="1280" max="1285" width="11.42578125" style="2" customWidth="1"/>
    <col min="1286" max="1288" width="0" style="2" hidden="1" customWidth="1"/>
    <col min="1289" max="1528" width="9.140625" style="2"/>
    <col min="1529" max="1529" width="10.28515625" style="2" customWidth="1"/>
    <col min="1530" max="1530" width="49.42578125" style="2" customWidth="1"/>
    <col min="1531" max="1531" width="40.140625" style="2" customWidth="1"/>
    <col min="1532" max="1532" width="14.140625" style="2" customWidth="1"/>
    <col min="1533" max="1533" width="0" style="2" hidden="1" customWidth="1"/>
    <col min="1534" max="1534" width="11.42578125" style="2" customWidth="1"/>
    <col min="1535" max="1535" width="10" style="2" bestFit="1" customWidth="1"/>
    <col min="1536" max="1541" width="11.42578125" style="2" customWidth="1"/>
    <col min="1542" max="1544" width="0" style="2" hidden="1" customWidth="1"/>
    <col min="1545" max="1784" width="9.140625" style="2"/>
    <col min="1785" max="1785" width="10.28515625" style="2" customWidth="1"/>
    <col min="1786" max="1786" width="49.42578125" style="2" customWidth="1"/>
    <col min="1787" max="1787" width="40.140625" style="2" customWidth="1"/>
    <col min="1788" max="1788" width="14.140625" style="2" customWidth="1"/>
    <col min="1789" max="1789" width="0" style="2" hidden="1" customWidth="1"/>
    <col min="1790" max="1790" width="11.42578125" style="2" customWidth="1"/>
    <col min="1791" max="1791" width="10" style="2" bestFit="1" customWidth="1"/>
    <col min="1792" max="1797" width="11.42578125" style="2" customWidth="1"/>
    <col min="1798" max="1800" width="0" style="2" hidden="1" customWidth="1"/>
    <col min="1801" max="2040" width="9.140625" style="2"/>
    <col min="2041" max="2041" width="10.28515625" style="2" customWidth="1"/>
    <col min="2042" max="2042" width="49.42578125" style="2" customWidth="1"/>
    <col min="2043" max="2043" width="40.140625" style="2" customWidth="1"/>
    <col min="2044" max="2044" width="14.140625" style="2" customWidth="1"/>
    <col min="2045" max="2045" width="0" style="2" hidden="1" customWidth="1"/>
    <col min="2046" max="2046" width="11.42578125" style="2" customWidth="1"/>
    <col min="2047" max="2047" width="10" style="2" bestFit="1" customWidth="1"/>
    <col min="2048" max="2053" width="11.42578125" style="2" customWidth="1"/>
    <col min="2054" max="2056" width="0" style="2" hidden="1" customWidth="1"/>
    <col min="2057" max="2296" width="9.140625" style="2"/>
    <col min="2297" max="2297" width="10.28515625" style="2" customWidth="1"/>
    <col min="2298" max="2298" width="49.42578125" style="2" customWidth="1"/>
    <col min="2299" max="2299" width="40.140625" style="2" customWidth="1"/>
    <col min="2300" max="2300" width="14.140625" style="2" customWidth="1"/>
    <col min="2301" max="2301" width="0" style="2" hidden="1" customWidth="1"/>
    <col min="2302" max="2302" width="11.42578125" style="2" customWidth="1"/>
    <col min="2303" max="2303" width="10" style="2" bestFit="1" customWidth="1"/>
    <col min="2304" max="2309" width="11.42578125" style="2" customWidth="1"/>
    <col min="2310" max="2312" width="0" style="2" hidden="1" customWidth="1"/>
    <col min="2313" max="2552" width="9.140625" style="2"/>
    <col min="2553" max="2553" width="10.28515625" style="2" customWidth="1"/>
    <col min="2554" max="2554" width="49.42578125" style="2" customWidth="1"/>
    <col min="2555" max="2555" width="40.140625" style="2" customWidth="1"/>
    <col min="2556" max="2556" width="14.140625" style="2" customWidth="1"/>
    <col min="2557" max="2557" width="0" style="2" hidden="1" customWidth="1"/>
    <col min="2558" max="2558" width="11.42578125" style="2" customWidth="1"/>
    <col min="2559" max="2559" width="10" style="2" bestFit="1" customWidth="1"/>
    <col min="2560" max="2565" width="11.42578125" style="2" customWidth="1"/>
    <col min="2566" max="2568" width="0" style="2" hidden="1" customWidth="1"/>
    <col min="2569" max="2808" width="9.140625" style="2"/>
    <col min="2809" max="2809" width="10.28515625" style="2" customWidth="1"/>
    <col min="2810" max="2810" width="49.42578125" style="2" customWidth="1"/>
    <col min="2811" max="2811" width="40.140625" style="2" customWidth="1"/>
    <col min="2812" max="2812" width="14.140625" style="2" customWidth="1"/>
    <col min="2813" max="2813" width="0" style="2" hidden="1" customWidth="1"/>
    <col min="2814" max="2814" width="11.42578125" style="2" customWidth="1"/>
    <col min="2815" max="2815" width="10" style="2" bestFit="1" customWidth="1"/>
    <col min="2816" max="2821" width="11.42578125" style="2" customWidth="1"/>
    <col min="2822" max="2824" width="0" style="2" hidden="1" customWidth="1"/>
    <col min="2825" max="3064" width="9.140625" style="2"/>
    <col min="3065" max="3065" width="10.28515625" style="2" customWidth="1"/>
    <col min="3066" max="3066" width="49.42578125" style="2" customWidth="1"/>
    <col min="3067" max="3067" width="40.140625" style="2" customWidth="1"/>
    <col min="3068" max="3068" width="14.140625" style="2" customWidth="1"/>
    <col min="3069" max="3069" width="0" style="2" hidden="1" customWidth="1"/>
    <col min="3070" max="3070" width="11.42578125" style="2" customWidth="1"/>
    <col min="3071" max="3071" width="10" style="2" bestFit="1" customWidth="1"/>
    <col min="3072" max="3077" width="11.42578125" style="2" customWidth="1"/>
    <col min="3078" max="3080" width="0" style="2" hidden="1" customWidth="1"/>
    <col min="3081" max="3320" width="9.140625" style="2"/>
    <col min="3321" max="3321" width="10.28515625" style="2" customWidth="1"/>
    <col min="3322" max="3322" width="49.42578125" style="2" customWidth="1"/>
    <col min="3323" max="3323" width="40.140625" style="2" customWidth="1"/>
    <col min="3324" max="3324" width="14.140625" style="2" customWidth="1"/>
    <col min="3325" max="3325" width="0" style="2" hidden="1" customWidth="1"/>
    <col min="3326" max="3326" width="11.42578125" style="2" customWidth="1"/>
    <col min="3327" max="3327" width="10" style="2" bestFit="1" customWidth="1"/>
    <col min="3328" max="3333" width="11.42578125" style="2" customWidth="1"/>
    <col min="3334" max="3336" width="0" style="2" hidden="1" customWidth="1"/>
    <col min="3337" max="3576" width="9.140625" style="2"/>
    <col min="3577" max="3577" width="10.28515625" style="2" customWidth="1"/>
    <col min="3578" max="3578" width="49.42578125" style="2" customWidth="1"/>
    <col min="3579" max="3579" width="40.140625" style="2" customWidth="1"/>
    <col min="3580" max="3580" width="14.140625" style="2" customWidth="1"/>
    <col min="3581" max="3581" width="0" style="2" hidden="1" customWidth="1"/>
    <col min="3582" max="3582" width="11.42578125" style="2" customWidth="1"/>
    <col min="3583" max="3583" width="10" style="2" bestFit="1" customWidth="1"/>
    <col min="3584" max="3589" width="11.42578125" style="2" customWidth="1"/>
    <col min="3590" max="3592" width="0" style="2" hidden="1" customWidth="1"/>
    <col min="3593" max="3832" width="9.140625" style="2"/>
    <col min="3833" max="3833" width="10.28515625" style="2" customWidth="1"/>
    <col min="3834" max="3834" width="49.42578125" style="2" customWidth="1"/>
    <col min="3835" max="3835" width="40.140625" style="2" customWidth="1"/>
    <col min="3836" max="3836" width="14.140625" style="2" customWidth="1"/>
    <col min="3837" max="3837" width="0" style="2" hidden="1" customWidth="1"/>
    <col min="3838" max="3838" width="11.42578125" style="2" customWidth="1"/>
    <col min="3839" max="3839" width="10" style="2" bestFit="1" customWidth="1"/>
    <col min="3840" max="3845" width="11.42578125" style="2" customWidth="1"/>
    <col min="3846" max="3848" width="0" style="2" hidden="1" customWidth="1"/>
    <col min="3849" max="4088" width="9.140625" style="2"/>
    <col min="4089" max="4089" width="10.28515625" style="2" customWidth="1"/>
    <col min="4090" max="4090" width="49.42578125" style="2" customWidth="1"/>
    <col min="4091" max="4091" width="40.140625" style="2" customWidth="1"/>
    <col min="4092" max="4092" width="14.140625" style="2" customWidth="1"/>
    <col min="4093" max="4093" width="0" style="2" hidden="1" customWidth="1"/>
    <col min="4094" max="4094" width="11.42578125" style="2" customWidth="1"/>
    <col min="4095" max="4095" width="10" style="2" bestFit="1" customWidth="1"/>
    <col min="4096" max="4101" width="11.42578125" style="2" customWidth="1"/>
    <col min="4102" max="4104" width="0" style="2" hidden="1" customWidth="1"/>
    <col min="4105" max="4344" width="9.140625" style="2"/>
    <col min="4345" max="4345" width="10.28515625" style="2" customWidth="1"/>
    <col min="4346" max="4346" width="49.42578125" style="2" customWidth="1"/>
    <col min="4347" max="4347" width="40.140625" style="2" customWidth="1"/>
    <col min="4348" max="4348" width="14.140625" style="2" customWidth="1"/>
    <col min="4349" max="4349" width="0" style="2" hidden="1" customWidth="1"/>
    <col min="4350" max="4350" width="11.42578125" style="2" customWidth="1"/>
    <col min="4351" max="4351" width="10" style="2" bestFit="1" customWidth="1"/>
    <col min="4352" max="4357" width="11.42578125" style="2" customWidth="1"/>
    <col min="4358" max="4360" width="0" style="2" hidden="1" customWidth="1"/>
    <col min="4361" max="4600" width="9.140625" style="2"/>
    <col min="4601" max="4601" width="10.28515625" style="2" customWidth="1"/>
    <col min="4602" max="4602" width="49.42578125" style="2" customWidth="1"/>
    <col min="4603" max="4603" width="40.140625" style="2" customWidth="1"/>
    <col min="4604" max="4604" width="14.140625" style="2" customWidth="1"/>
    <col min="4605" max="4605" width="0" style="2" hidden="1" customWidth="1"/>
    <col min="4606" max="4606" width="11.42578125" style="2" customWidth="1"/>
    <col min="4607" max="4607" width="10" style="2" bestFit="1" customWidth="1"/>
    <col min="4608" max="4613" width="11.42578125" style="2" customWidth="1"/>
    <col min="4614" max="4616" width="0" style="2" hidden="1" customWidth="1"/>
    <col min="4617" max="4856" width="9.140625" style="2"/>
    <col min="4857" max="4857" width="10.28515625" style="2" customWidth="1"/>
    <col min="4858" max="4858" width="49.42578125" style="2" customWidth="1"/>
    <col min="4859" max="4859" width="40.140625" style="2" customWidth="1"/>
    <col min="4860" max="4860" width="14.140625" style="2" customWidth="1"/>
    <col min="4861" max="4861" width="0" style="2" hidden="1" customWidth="1"/>
    <col min="4862" max="4862" width="11.42578125" style="2" customWidth="1"/>
    <col min="4863" max="4863" width="10" style="2" bestFit="1" customWidth="1"/>
    <col min="4864" max="4869" width="11.42578125" style="2" customWidth="1"/>
    <col min="4870" max="4872" width="0" style="2" hidden="1" customWidth="1"/>
    <col min="4873" max="5112" width="9.140625" style="2"/>
    <col min="5113" max="5113" width="10.28515625" style="2" customWidth="1"/>
    <col min="5114" max="5114" width="49.42578125" style="2" customWidth="1"/>
    <col min="5115" max="5115" width="40.140625" style="2" customWidth="1"/>
    <col min="5116" max="5116" width="14.140625" style="2" customWidth="1"/>
    <col min="5117" max="5117" width="0" style="2" hidden="1" customWidth="1"/>
    <col min="5118" max="5118" width="11.42578125" style="2" customWidth="1"/>
    <col min="5119" max="5119" width="10" style="2" bestFit="1" customWidth="1"/>
    <col min="5120" max="5125" width="11.42578125" style="2" customWidth="1"/>
    <col min="5126" max="5128" width="0" style="2" hidden="1" customWidth="1"/>
    <col min="5129" max="5368" width="9.140625" style="2"/>
    <col min="5369" max="5369" width="10.28515625" style="2" customWidth="1"/>
    <col min="5370" max="5370" width="49.42578125" style="2" customWidth="1"/>
    <col min="5371" max="5371" width="40.140625" style="2" customWidth="1"/>
    <col min="5372" max="5372" width="14.140625" style="2" customWidth="1"/>
    <col min="5373" max="5373" width="0" style="2" hidden="1" customWidth="1"/>
    <col min="5374" max="5374" width="11.42578125" style="2" customWidth="1"/>
    <col min="5375" max="5375" width="10" style="2" bestFit="1" customWidth="1"/>
    <col min="5376" max="5381" width="11.42578125" style="2" customWidth="1"/>
    <col min="5382" max="5384" width="0" style="2" hidden="1" customWidth="1"/>
    <col min="5385" max="5624" width="9.140625" style="2"/>
    <col min="5625" max="5625" width="10.28515625" style="2" customWidth="1"/>
    <col min="5626" max="5626" width="49.42578125" style="2" customWidth="1"/>
    <col min="5627" max="5627" width="40.140625" style="2" customWidth="1"/>
    <col min="5628" max="5628" width="14.140625" style="2" customWidth="1"/>
    <col min="5629" max="5629" width="0" style="2" hidden="1" customWidth="1"/>
    <col min="5630" max="5630" width="11.42578125" style="2" customWidth="1"/>
    <col min="5631" max="5631" width="10" style="2" bestFit="1" customWidth="1"/>
    <col min="5632" max="5637" width="11.42578125" style="2" customWidth="1"/>
    <col min="5638" max="5640" width="0" style="2" hidden="1" customWidth="1"/>
    <col min="5641" max="5880" width="9.140625" style="2"/>
    <col min="5881" max="5881" width="10.28515625" style="2" customWidth="1"/>
    <col min="5882" max="5882" width="49.42578125" style="2" customWidth="1"/>
    <col min="5883" max="5883" width="40.140625" style="2" customWidth="1"/>
    <col min="5884" max="5884" width="14.140625" style="2" customWidth="1"/>
    <col min="5885" max="5885" width="0" style="2" hidden="1" customWidth="1"/>
    <col min="5886" max="5886" width="11.42578125" style="2" customWidth="1"/>
    <col min="5887" max="5887" width="10" style="2" bestFit="1" customWidth="1"/>
    <col min="5888" max="5893" width="11.42578125" style="2" customWidth="1"/>
    <col min="5894" max="5896" width="0" style="2" hidden="1" customWidth="1"/>
    <col min="5897" max="6136" width="9.140625" style="2"/>
    <col min="6137" max="6137" width="10.28515625" style="2" customWidth="1"/>
    <col min="6138" max="6138" width="49.42578125" style="2" customWidth="1"/>
    <col min="6139" max="6139" width="40.140625" style="2" customWidth="1"/>
    <col min="6140" max="6140" width="14.140625" style="2" customWidth="1"/>
    <col min="6141" max="6141" width="0" style="2" hidden="1" customWidth="1"/>
    <col min="6142" max="6142" width="11.42578125" style="2" customWidth="1"/>
    <col min="6143" max="6143" width="10" style="2" bestFit="1" customWidth="1"/>
    <col min="6144" max="6149" width="11.42578125" style="2" customWidth="1"/>
    <col min="6150" max="6152" width="0" style="2" hidden="1" customWidth="1"/>
    <col min="6153" max="6392" width="9.140625" style="2"/>
    <col min="6393" max="6393" width="10.28515625" style="2" customWidth="1"/>
    <col min="6394" max="6394" width="49.42578125" style="2" customWidth="1"/>
    <col min="6395" max="6395" width="40.140625" style="2" customWidth="1"/>
    <col min="6396" max="6396" width="14.140625" style="2" customWidth="1"/>
    <col min="6397" max="6397" width="0" style="2" hidden="1" customWidth="1"/>
    <col min="6398" max="6398" width="11.42578125" style="2" customWidth="1"/>
    <col min="6399" max="6399" width="10" style="2" bestFit="1" customWidth="1"/>
    <col min="6400" max="6405" width="11.42578125" style="2" customWidth="1"/>
    <col min="6406" max="6408" width="0" style="2" hidden="1" customWidth="1"/>
    <col min="6409" max="6648" width="9.140625" style="2"/>
    <col min="6649" max="6649" width="10.28515625" style="2" customWidth="1"/>
    <col min="6650" max="6650" width="49.42578125" style="2" customWidth="1"/>
    <col min="6651" max="6651" width="40.140625" style="2" customWidth="1"/>
    <col min="6652" max="6652" width="14.140625" style="2" customWidth="1"/>
    <col min="6653" max="6653" width="0" style="2" hidden="1" customWidth="1"/>
    <col min="6654" max="6654" width="11.42578125" style="2" customWidth="1"/>
    <col min="6655" max="6655" width="10" style="2" bestFit="1" customWidth="1"/>
    <col min="6656" max="6661" width="11.42578125" style="2" customWidth="1"/>
    <col min="6662" max="6664" width="0" style="2" hidden="1" customWidth="1"/>
    <col min="6665" max="6904" width="9.140625" style="2"/>
    <col min="6905" max="6905" width="10.28515625" style="2" customWidth="1"/>
    <col min="6906" max="6906" width="49.42578125" style="2" customWidth="1"/>
    <col min="6907" max="6907" width="40.140625" style="2" customWidth="1"/>
    <col min="6908" max="6908" width="14.140625" style="2" customWidth="1"/>
    <col min="6909" max="6909" width="0" style="2" hidden="1" customWidth="1"/>
    <col min="6910" max="6910" width="11.42578125" style="2" customWidth="1"/>
    <col min="6911" max="6911" width="10" style="2" bestFit="1" customWidth="1"/>
    <col min="6912" max="6917" width="11.42578125" style="2" customWidth="1"/>
    <col min="6918" max="6920" width="0" style="2" hidden="1" customWidth="1"/>
    <col min="6921" max="7160" width="9.140625" style="2"/>
    <col min="7161" max="7161" width="10.28515625" style="2" customWidth="1"/>
    <col min="7162" max="7162" width="49.42578125" style="2" customWidth="1"/>
    <col min="7163" max="7163" width="40.140625" style="2" customWidth="1"/>
    <col min="7164" max="7164" width="14.140625" style="2" customWidth="1"/>
    <col min="7165" max="7165" width="0" style="2" hidden="1" customWidth="1"/>
    <col min="7166" max="7166" width="11.42578125" style="2" customWidth="1"/>
    <col min="7167" max="7167" width="10" style="2" bestFit="1" customWidth="1"/>
    <col min="7168" max="7173" width="11.42578125" style="2" customWidth="1"/>
    <col min="7174" max="7176" width="0" style="2" hidden="1" customWidth="1"/>
    <col min="7177" max="7416" width="9.140625" style="2"/>
    <col min="7417" max="7417" width="10.28515625" style="2" customWidth="1"/>
    <col min="7418" max="7418" width="49.42578125" style="2" customWidth="1"/>
    <col min="7419" max="7419" width="40.140625" style="2" customWidth="1"/>
    <col min="7420" max="7420" width="14.140625" style="2" customWidth="1"/>
    <col min="7421" max="7421" width="0" style="2" hidden="1" customWidth="1"/>
    <col min="7422" max="7422" width="11.42578125" style="2" customWidth="1"/>
    <col min="7423" max="7423" width="10" style="2" bestFit="1" customWidth="1"/>
    <col min="7424" max="7429" width="11.42578125" style="2" customWidth="1"/>
    <col min="7430" max="7432" width="0" style="2" hidden="1" customWidth="1"/>
    <col min="7433" max="7672" width="9.140625" style="2"/>
    <col min="7673" max="7673" width="10.28515625" style="2" customWidth="1"/>
    <col min="7674" max="7674" width="49.42578125" style="2" customWidth="1"/>
    <col min="7675" max="7675" width="40.140625" style="2" customWidth="1"/>
    <col min="7676" max="7676" width="14.140625" style="2" customWidth="1"/>
    <col min="7677" max="7677" width="0" style="2" hidden="1" customWidth="1"/>
    <col min="7678" max="7678" width="11.42578125" style="2" customWidth="1"/>
    <col min="7679" max="7679" width="10" style="2" bestFit="1" customWidth="1"/>
    <col min="7680" max="7685" width="11.42578125" style="2" customWidth="1"/>
    <col min="7686" max="7688" width="0" style="2" hidden="1" customWidth="1"/>
    <col min="7689" max="7928" width="9.140625" style="2"/>
    <col min="7929" max="7929" width="10.28515625" style="2" customWidth="1"/>
    <col min="7930" max="7930" width="49.42578125" style="2" customWidth="1"/>
    <col min="7931" max="7931" width="40.140625" style="2" customWidth="1"/>
    <col min="7932" max="7932" width="14.140625" style="2" customWidth="1"/>
    <col min="7933" max="7933" width="0" style="2" hidden="1" customWidth="1"/>
    <col min="7934" max="7934" width="11.42578125" style="2" customWidth="1"/>
    <col min="7935" max="7935" width="10" style="2" bestFit="1" customWidth="1"/>
    <col min="7936" max="7941" width="11.42578125" style="2" customWidth="1"/>
    <col min="7942" max="7944" width="0" style="2" hidden="1" customWidth="1"/>
    <col min="7945" max="8184" width="9.140625" style="2"/>
    <col min="8185" max="8185" width="10.28515625" style="2" customWidth="1"/>
    <col min="8186" max="8186" width="49.42578125" style="2" customWidth="1"/>
    <col min="8187" max="8187" width="40.140625" style="2" customWidth="1"/>
    <col min="8188" max="8188" width="14.140625" style="2" customWidth="1"/>
    <col min="8189" max="8189" width="0" style="2" hidden="1" customWidth="1"/>
    <col min="8190" max="8190" width="11.42578125" style="2" customWidth="1"/>
    <col min="8191" max="8191" width="10" style="2" bestFit="1" customWidth="1"/>
    <col min="8192" max="8197" width="11.42578125" style="2" customWidth="1"/>
    <col min="8198" max="8200" width="0" style="2" hidden="1" customWidth="1"/>
    <col min="8201" max="8440" width="9.140625" style="2"/>
    <col min="8441" max="8441" width="10.28515625" style="2" customWidth="1"/>
    <col min="8442" max="8442" width="49.42578125" style="2" customWidth="1"/>
    <col min="8443" max="8443" width="40.140625" style="2" customWidth="1"/>
    <col min="8444" max="8444" width="14.140625" style="2" customWidth="1"/>
    <col min="8445" max="8445" width="0" style="2" hidden="1" customWidth="1"/>
    <col min="8446" max="8446" width="11.42578125" style="2" customWidth="1"/>
    <col min="8447" max="8447" width="10" style="2" bestFit="1" customWidth="1"/>
    <col min="8448" max="8453" width="11.42578125" style="2" customWidth="1"/>
    <col min="8454" max="8456" width="0" style="2" hidden="1" customWidth="1"/>
    <col min="8457" max="8696" width="9.140625" style="2"/>
    <col min="8697" max="8697" width="10.28515625" style="2" customWidth="1"/>
    <col min="8698" max="8698" width="49.42578125" style="2" customWidth="1"/>
    <col min="8699" max="8699" width="40.140625" style="2" customWidth="1"/>
    <col min="8700" max="8700" width="14.140625" style="2" customWidth="1"/>
    <col min="8701" max="8701" width="0" style="2" hidden="1" customWidth="1"/>
    <col min="8702" max="8702" width="11.42578125" style="2" customWidth="1"/>
    <col min="8703" max="8703" width="10" style="2" bestFit="1" customWidth="1"/>
    <col min="8704" max="8709" width="11.42578125" style="2" customWidth="1"/>
    <col min="8710" max="8712" width="0" style="2" hidden="1" customWidth="1"/>
    <col min="8713" max="8952" width="9.140625" style="2"/>
    <col min="8953" max="8953" width="10.28515625" style="2" customWidth="1"/>
    <col min="8954" max="8954" width="49.42578125" style="2" customWidth="1"/>
    <col min="8955" max="8955" width="40.140625" style="2" customWidth="1"/>
    <col min="8956" max="8956" width="14.140625" style="2" customWidth="1"/>
    <col min="8957" max="8957" width="0" style="2" hidden="1" customWidth="1"/>
    <col min="8958" max="8958" width="11.42578125" style="2" customWidth="1"/>
    <col min="8959" max="8959" width="10" style="2" bestFit="1" customWidth="1"/>
    <col min="8960" max="8965" width="11.42578125" style="2" customWidth="1"/>
    <col min="8966" max="8968" width="0" style="2" hidden="1" customWidth="1"/>
    <col min="8969" max="9208" width="9.140625" style="2"/>
    <col min="9209" max="9209" width="10.28515625" style="2" customWidth="1"/>
    <col min="9210" max="9210" width="49.42578125" style="2" customWidth="1"/>
    <col min="9211" max="9211" width="40.140625" style="2" customWidth="1"/>
    <col min="9212" max="9212" width="14.140625" style="2" customWidth="1"/>
    <col min="9213" max="9213" width="0" style="2" hidden="1" customWidth="1"/>
    <col min="9214" max="9214" width="11.42578125" style="2" customWidth="1"/>
    <col min="9215" max="9215" width="10" style="2" bestFit="1" customWidth="1"/>
    <col min="9216" max="9221" width="11.42578125" style="2" customWidth="1"/>
    <col min="9222" max="9224" width="0" style="2" hidden="1" customWidth="1"/>
    <col min="9225" max="9464" width="9.140625" style="2"/>
    <col min="9465" max="9465" width="10.28515625" style="2" customWidth="1"/>
    <col min="9466" max="9466" width="49.42578125" style="2" customWidth="1"/>
    <col min="9467" max="9467" width="40.140625" style="2" customWidth="1"/>
    <col min="9468" max="9468" width="14.140625" style="2" customWidth="1"/>
    <col min="9469" max="9469" width="0" style="2" hidden="1" customWidth="1"/>
    <col min="9470" max="9470" width="11.42578125" style="2" customWidth="1"/>
    <col min="9471" max="9471" width="10" style="2" bestFit="1" customWidth="1"/>
    <col min="9472" max="9477" width="11.42578125" style="2" customWidth="1"/>
    <col min="9478" max="9480" width="0" style="2" hidden="1" customWidth="1"/>
    <col min="9481" max="9720" width="9.140625" style="2"/>
    <col min="9721" max="9721" width="10.28515625" style="2" customWidth="1"/>
    <col min="9722" max="9722" width="49.42578125" style="2" customWidth="1"/>
    <col min="9723" max="9723" width="40.140625" style="2" customWidth="1"/>
    <col min="9724" max="9724" width="14.140625" style="2" customWidth="1"/>
    <col min="9725" max="9725" width="0" style="2" hidden="1" customWidth="1"/>
    <col min="9726" max="9726" width="11.42578125" style="2" customWidth="1"/>
    <col min="9727" max="9727" width="10" style="2" bestFit="1" customWidth="1"/>
    <col min="9728" max="9733" width="11.42578125" style="2" customWidth="1"/>
    <col min="9734" max="9736" width="0" style="2" hidden="1" customWidth="1"/>
    <col min="9737" max="9976" width="9.140625" style="2"/>
    <col min="9977" max="9977" width="10.28515625" style="2" customWidth="1"/>
    <col min="9978" max="9978" width="49.42578125" style="2" customWidth="1"/>
    <col min="9979" max="9979" width="40.140625" style="2" customWidth="1"/>
    <col min="9980" max="9980" width="14.140625" style="2" customWidth="1"/>
    <col min="9981" max="9981" width="0" style="2" hidden="1" customWidth="1"/>
    <col min="9982" max="9982" width="11.42578125" style="2" customWidth="1"/>
    <col min="9983" max="9983" width="10" style="2" bestFit="1" customWidth="1"/>
    <col min="9984" max="9989" width="11.42578125" style="2" customWidth="1"/>
    <col min="9990" max="9992" width="0" style="2" hidden="1" customWidth="1"/>
    <col min="9993" max="10232" width="9.140625" style="2"/>
    <col min="10233" max="10233" width="10.28515625" style="2" customWidth="1"/>
    <col min="10234" max="10234" width="49.42578125" style="2" customWidth="1"/>
    <col min="10235" max="10235" width="40.140625" style="2" customWidth="1"/>
    <col min="10236" max="10236" width="14.140625" style="2" customWidth="1"/>
    <col min="10237" max="10237" width="0" style="2" hidden="1" customWidth="1"/>
    <col min="10238" max="10238" width="11.42578125" style="2" customWidth="1"/>
    <col min="10239" max="10239" width="10" style="2" bestFit="1" customWidth="1"/>
    <col min="10240" max="10245" width="11.42578125" style="2" customWidth="1"/>
    <col min="10246" max="10248" width="0" style="2" hidden="1" customWidth="1"/>
    <col min="10249" max="10488" width="9.140625" style="2"/>
    <col min="10489" max="10489" width="10.28515625" style="2" customWidth="1"/>
    <col min="10490" max="10490" width="49.42578125" style="2" customWidth="1"/>
    <col min="10491" max="10491" width="40.140625" style="2" customWidth="1"/>
    <col min="10492" max="10492" width="14.140625" style="2" customWidth="1"/>
    <col min="10493" max="10493" width="0" style="2" hidden="1" customWidth="1"/>
    <col min="10494" max="10494" width="11.42578125" style="2" customWidth="1"/>
    <col min="10495" max="10495" width="10" style="2" bestFit="1" customWidth="1"/>
    <col min="10496" max="10501" width="11.42578125" style="2" customWidth="1"/>
    <col min="10502" max="10504" width="0" style="2" hidden="1" customWidth="1"/>
    <col min="10505" max="10744" width="9.140625" style="2"/>
    <col min="10745" max="10745" width="10.28515625" style="2" customWidth="1"/>
    <col min="10746" max="10746" width="49.42578125" style="2" customWidth="1"/>
    <col min="10747" max="10747" width="40.140625" style="2" customWidth="1"/>
    <col min="10748" max="10748" width="14.140625" style="2" customWidth="1"/>
    <col min="10749" max="10749" width="0" style="2" hidden="1" customWidth="1"/>
    <col min="10750" max="10750" width="11.42578125" style="2" customWidth="1"/>
    <col min="10751" max="10751" width="10" style="2" bestFit="1" customWidth="1"/>
    <col min="10752" max="10757" width="11.42578125" style="2" customWidth="1"/>
    <col min="10758" max="10760" width="0" style="2" hidden="1" customWidth="1"/>
    <col min="10761" max="11000" width="9.140625" style="2"/>
    <col min="11001" max="11001" width="10.28515625" style="2" customWidth="1"/>
    <col min="11002" max="11002" width="49.42578125" style="2" customWidth="1"/>
    <col min="11003" max="11003" width="40.140625" style="2" customWidth="1"/>
    <col min="11004" max="11004" width="14.140625" style="2" customWidth="1"/>
    <col min="11005" max="11005" width="0" style="2" hidden="1" customWidth="1"/>
    <col min="11006" max="11006" width="11.42578125" style="2" customWidth="1"/>
    <col min="11007" max="11007" width="10" style="2" bestFit="1" customWidth="1"/>
    <col min="11008" max="11013" width="11.42578125" style="2" customWidth="1"/>
    <col min="11014" max="11016" width="0" style="2" hidden="1" customWidth="1"/>
    <col min="11017" max="11256" width="9.140625" style="2"/>
    <col min="11257" max="11257" width="10.28515625" style="2" customWidth="1"/>
    <col min="11258" max="11258" width="49.42578125" style="2" customWidth="1"/>
    <col min="11259" max="11259" width="40.140625" style="2" customWidth="1"/>
    <col min="11260" max="11260" width="14.140625" style="2" customWidth="1"/>
    <col min="11261" max="11261" width="0" style="2" hidden="1" customWidth="1"/>
    <col min="11262" max="11262" width="11.42578125" style="2" customWidth="1"/>
    <col min="11263" max="11263" width="10" style="2" bestFit="1" customWidth="1"/>
    <col min="11264" max="11269" width="11.42578125" style="2" customWidth="1"/>
    <col min="11270" max="11272" width="0" style="2" hidden="1" customWidth="1"/>
    <col min="11273" max="11512" width="9.140625" style="2"/>
    <col min="11513" max="11513" width="10.28515625" style="2" customWidth="1"/>
    <col min="11514" max="11514" width="49.42578125" style="2" customWidth="1"/>
    <col min="11515" max="11515" width="40.140625" style="2" customWidth="1"/>
    <col min="11516" max="11516" width="14.140625" style="2" customWidth="1"/>
    <col min="11517" max="11517" width="0" style="2" hidden="1" customWidth="1"/>
    <col min="11518" max="11518" width="11.42578125" style="2" customWidth="1"/>
    <col min="11519" max="11519" width="10" style="2" bestFit="1" customWidth="1"/>
    <col min="11520" max="11525" width="11.42578125" style="2" customWidth="1"/>
    <col min="11526" max="11528" width="0" style="2" hidden="1" customWidth="1"/>
    <col min="11529" max="11768" width="9.140625" style="2"/>
    <col min="11769" max="11769" width="10.28515625" style="2" customWidth="1"/>
    <col min="11770" max="11770" width="49.42578125" style="2" customWidth="1"/>
    <col min="11771" max="11771" width="40.140625" style="2" customWidth="1"/>
    <col min="11772" max="11772" width="14.140625" style="2" customWidth="1"/>
    <col min="11773" max="11773" width="0" style="2" hidden="1" customWidth="1"/>
    <col min="11774" max="11774" width="11.42578125" style="2" customWidth="1"/>
    <col min="11775" max="11775" width="10" style="2" bestFit="1" customWidth="1"/>
    <col min="11776" max="11781" width="11.42578125" style="2" customWidth="1"/>
    <col min="11782" max="11784" width="0" style="2" hidden="1" customWidth="1"/>
    <col min="11785" max="12024" width="9.140625" style="2"/>
    <col min="12025" max="12025" width="10.28515625" style="2" customWidth="1"/>
    <col min="12026" max="12026" width="49.42578125" style="2" customWidth="1"/>
    <col min="12027" max="12027" width="40.140625" style="2" customWidth="1"/>
    <col min="12028" max="12028" width="14.140625" style="2" customWidth="1"/>
    <col min="12029" max="12029" width="0" style="2" hidden="1" customWidth="1"/>
    <col min="12030" max="12030" width="11.42578125" style="2" customWidth="1"/>
    <col min="12031" max="12031" width="10" style="2" bestFit="1" customWidth="1"/>
    <col min="12032" max="12037" width="11.42578125" style="2" customWidth="1"/>
    <col min="12038" max="12040" width="0" style="2" hidden="1" customWidth="1"/>
    <col min="12041" max="12280" width="9.140625" style="2"/>
    <col min="12281" max="12281" width="10.28515625" style="2" customWidth="1"/>
    <col min="12282" max="12282" width="49.42578125" style="2" customWidth="1"/>
    <col min="12283" max="12283" width="40.140625" style="2" customWidth="1"/>
    <col min="12284" max="12284" width="14.140625" style="2" customWidth="1"/>
    <col min="12285" max="12285" width="0" style="2" hidden="1" customWidth="1"/>
    <col min="12286" max="12286" width="11.42578125" style="2" customWidth="1"/>
    <col min="12287" max="12287" width="10" style="2" bestFit="1" customWidth="1"/>
    <col min="12288" max="12293" width="11.42578125" style="2" customWidth="1"/>
    <col min="12294" max="12296" width="0" style="2" hidden="1" customWidth="1"/>
    <col min="12297" max="12536" width="9.140625" style="2"/>
    <col min="12537" max="12537" width="10.28515625" style="2" customWidth="1"/>
    <col min="12538" max="12538" width="49.42578125" style="2" customWidth="1"/>
    <col min="12539" max="12539" width="40.140625" style="2" customWidth="1"/>
    <col min="12540" max="12540" width="14.140625" style="2" customWidth="1"/>
    <col min="12541" max="12541" width="0" style="2" hidden="1" customWidth="1"/>
    <col min="12542" max="12542" width="11.42578125" style="2" customWidth="1"/>
    <col min="12543" max="12543" width="10" style="2" bestFit="1" customWidth="1"/>
    <col min="12544" max="12549" width="11.42578125" style="2" customWidth="1"/>
    <col min="12550" max="12552" width="0" style="2" hidden="1" customWidth="1"/>
    <col min="12553" max="12792" width="9.140625" style="2"/>
    <col min="12793" max="12793" width="10.28515625" style="2" customWidth="1"/>
    <col min="12794" max="12794" width="49.42578125" style="2" customWidth="1"/>
    <col min="12795" max="12795" width="40.140625" style="2" customWidth="1"/>
    <col min="12796" max="12796" width="14.140625" style="2" customWidth="1"/>
    <col min="12797" max="12797" width="0" style="2" hidden="1" customWidth="1"/>
    <col min="12798" max="12798" width="11.42578125" style="2" customWidth="1"/>
    <col min="12799" max="12799" width="10" style="2" bestFit="1" customWidth="1"/>
    <col min="12800" max="12805" width="11.42578125" style="2" customWidth="1"/>
    <col min="12806" max="12808" width="0" style="2" hidden="1" customWidth="1"/>
    <col min="12809" max="13048" width="9.140625" style="2"/>
    <col min="13049" max="13049" width="10.28515625" style="2" customWidth="1"/>
    <col min="13050" max="13050" width="49.42578125" style="2" customWidth="1"/>
    <col min="13051" max="13051" width="40.140625" style="2" customWidth="1"/>
    <col min="13052" max="13052" width="14.140625" style="2" customWidth="1"/>
    <col min="13053" max="13053" width="0" style="2" hidden="1" customWidth="1"/>
    <col min="13054" max="13054" width="11.42578125" style="2" customWidth="1"/>
    <col min="13055" max="13055" width="10" style="2" bestFit="1" customWidth="1"/>
    <col min="13056" max="13061" width="11.42578125" style="2" customWidth="1"/>
    <col min="13062" max="13064" width="0" style="2" hidden="1" customWidth="1"/>
    <col min="13065" max="13304" width="9.140625" style="2"/>
    <col min="13305" max="13305" width="10.28515625" style="2" customWidth="1"/>
    <col min="13306" max="13306" width="49.42578125" style="2" customWidth="1"/>
    <col min="13307" max="13307" width="40.140625" style="2" customWidth="1"/>
    <col min="13308" max="13308" width="14.140625" style="2" customWidth="1"/>
    <col min="13309" max="13309" width="0" style="2" hidden="1" customWidth="1"/>
    <col min="13310" max="13310" width="11.42578125" style="2" customWidth="1"/>
    <col min="13311" max="13311" width="10" style="2" bestFit="1" customWidth="1"/>
    <col min="13312" max="13317" width="11.42578125" style="2" customWidth="1"/>
    <col min="13318" max="13320" width="0" style="2" hidden="1" customWidth="1"/>
    <col min="13321" max="13560" width="9.140625" style="2"/>
    <col min="13561" max="13561" width="10.28515625" style="2" customWidth="1"/>
    <col min="13562" max="13562" width="49.42578125" style="2" customWidth="1"/>
    <col min="13563" max="13563" width="40.140625" style="2" customWidth="1"/>
    <col min="13564" max="13564" width="14.140625" style="2" customWidth="1"/>
    <col min="13565" max="13565" width="0" style="2" hidden="1" customWidth="1"/>
    <col min="13566" max="13566" width="11.42578125" style="2" customWidth="1"/>
    <col min="13567" max="13567" width="10" style="2" bestFit="1" customWidth="1"/>
    <col min="13568" max="13573" width="11.42578125" style="2" customWidth="1"/>
    <col min="13574" max="13576" width="0" style="2" hidden="1" customWidth="1"/>
    <col min="13577" max="13816" width="9.140625" style="2"/>
    <col min="13817" max="13817" width="10.28515625" style="2" customWidth="1"/>
    <col min="13818" max="13818" width="49.42578125" style="2" customWidth="1"/>
    <col min="13819" max="13819" width="40.140625" style="2" customWidth="1"/>
    <col min="13820" max="13820" width="14.140625" style="2" customWidth="1"/>
    <col min="13821" max="13821" width="0" style="2" hidden="1" customWidth="1"/>
    <col min="13822" max="13822" width="11.42578125" style="2" customWidth="1"/>
    <col min="13823" max="13823" width="10" style="2" bestFit="1" customWidth="1"/>
    <col min="13824" max="13829" width="11.42578125" style="2" customWidth="1"/>
    <col min="13830" max="13832" width="0" style="2" hidden="1" customWidth="1"/>
    <col min="13833" max="14072" width="9.140625" style="2"/>
    <col min="14073" max="14073" width="10.28515625" style="2" customWidth="1"/>
    <col min="14074" max="14074" width="49.42578125" style="2" customWidth="1"/>
    <col min="14075" max="14075" width="40.140625" style="2" customWidth="1"/>
    <col min="14076" max="14076" width="14.140625" style="2" customWidth="1"/>
    <col min="14077" max="14077" width="0" style="2" hidden="1" customWidth="1"/>
    <col min="14078" max="14078" width="11.42578125" style="2" customWidth="1"/>
    <col min="14079" max="14079" width="10" style="2" bestFit="1" customWidth="1"/>
    <col min="14080" max="14085" width="11.42578125" style="2" customWidth="1"/>
    <col min="14086" max="14088" width="0" style="2" hidden="1" customWidth="1"/>
    <col min="14089" max="14328" width="9.140625" style="2"/>
    <col min="14329" max="14329" width="10.28515625" style="2" customWidth="1"/>
    <col min="14330" max="14330" width="49.42578125" style="2" customWidth="1"/>
    <col min="14331" max="14331" width="40.140625" style="2" customWidth="1"/>
    <col min="14332" max="14332" width="14.140625" style="2" customWidth="1"/>
    <col min="14333" max="14333" width="0" style="2" hidden="1" customWidth="1"/>
    <col min="14334" max="14334" width="11.42578125" style="2" customWidth="1"/>
    <col min="14335" max="14335" width="10" style="2" bestFit="1" customWidth="1"/>
    <col min="14336" max="14341" width="11.42578125" style="2" customWidth="1"/>
    <col min="14342" max="14344" width="0" style="2" hidden="1" customWidth="1"/>
    <col min="14345" max="14584" width="9.140625" style="2"/>
    <col min="14585" max="14585" width="10.28515625" style="2" customWidth="1"/>
    <col min="14586" max="14586" width="49.42578125" style="2" customWidth="1"/>
    <col min="14587" max="14587" width="40.140625" style="2" customWidth="1"/>
    <col min="14588" max="14588" width="14.140625" style="2" customWidth="1"/>
    <col min="14589" max="14589" width="0" style="2" hidden="1" customWidth="1"/>
    <col min="14590" max="14590" width="11.42578125" style="2" customWidth="1"/>
    <col min="14591" max="14591" width="10" style="2" bestFit="1" customWidth="1"/>
    <col min="14592" max="14597" width="11.42578125" style="2" customWidth="1"/>
    <col min="14598" max="14600" width="0" style="2" hidden="1" customWidth="1"/>
    <col min="14601" max="14840" width="9.140625" style="2"/>
    <col min="14841" max="14841" width="10.28515625" style="2" customWidth="1"/>
    <col min="14842" max="14842" width="49.42578125" style="2" customWidth="1"/>
    <col min="14843" max="14843" width="40.140625" style="2" customWidth="1"/>
    <col min="14844" max="14844" width="14.140625" style="2" customWidth="1"/>
    <col min="14845" max="14845" width="0" style="2" hidden="1" customWidth="1"/>
    <col min="14846" max="14846" width="11.42578125" style="2" customWidth="1"/>
    <col min="14847" max="14847" width="10" style="2" bestFit="1" customWidth="1"/>
    <col min="14848" max="14853" width="11.42578125" style="2" customWidth="1"/>
    <col min="14854" max="14856" width="0" style="2" hidden="1" customWidth="1"/>
    <col min="14857" max="15096" width="9.140625" style="2"/>
    <col min="15097" max="15097" width="10.28515625" style="2" customWidth="1"/>
    <col min="15098" max="15098" width="49.42578125" style="2" customWidth="1"/>
    <col min="15099" max="15099" width="40.140625" style="2" customWidth="1"/>
    <col min="15100" max="15100" width="14.140625" style="2" customWidth="1"/>
    <col min="15101" max="15101" width="0" style="2" hidden="1" customWidth="1"/>
    <col min="15102" max="15102" width="11.42578125" style="2" customWidth="1"/>
    <col min="15103" max="15103" width="10" style="2" bestFit="1" customWidth="1"/>
    <col min="15104" max="15109" width="11.42578125" style="2" customWidth="1"/>
    <col min="15110" max="15112" width="0" style="2" hidden="1" customWidth="1"/>
    <col min="15113" max="15352" width="9.140625" style="2"/>
    <col min="15353" max="15353" width="10.28515625" style="2" customWidth="1"/>
    <col min="15354" max="15354" width="49.42578125" style="2" customWidth="1"/>
    <col min="15355" max="15355" width="40.140625" style="2" customWidth="1"/>
    <col min="15356" max="15356" width="14.140625" style="2" customWidth="1"/>
    <col min="15357" max="15357" width="0" style="2" hidden="1" customWidth="1"/>
    <col min="15358" max="15358" width="11.42578125" style="2" customWidth="1"/>
    <col min="15359" max="15359" width="10" style="2" bestFit="1" customWidth="1"/>
    <col min="15360" max="15365" width="11.42578125" style="2" customWidth="1"/>
    <col min="15366" max="15368" width="0" style="2" hidden="1" customWidth="1"/>
    <col min="15369" max="15608" width="9.140625" style="2"/>
    <col min="15609" max="15609" width="10.28515625" style="2" customWidth="1"/>
    <col min="15610" max="15610" width="49.42578125" style="2" customWidth="1"/>
    <col min="15611" max="15611" width="40.140625" style="2" customWidth="1"/>
    <col min="15612" max="15612" width="14.140625" style="2" customWidth="1"/>
    <col min="15613" max="15613" width="0" style="2" hidden="1" customWidth="1"/>
    <col min="15614" max="15614" width="11.42578125" style="2" customWidth="1"/>
    <col min="15615" max="15615" width="10" style="2" bestFit="1" customWidth="1"/>
    <col min="15616" max="15621" width="11.42578125" style="2" customWidth="1"/>
    <col min="15622" max="15624" width="0" style="2" hidden="1" customWidth="1"/>
    <col min="15625" max="15864" width="9.140625" style="2"/>
    <col min="15865" max="15865" width="10.28515625" style="2" customWidth="1"/>
    <col min="15866" max="15866" width="49.42578125" style="2" customWidth="1"/>
    <col min="15867" max="15867" width="40.140625" style="2" customWidth="1"/>
    <col min="15868" max="15868" width="14.140625" style="2" customWidth="1"/>
    <col min="15869" max="15869" width="0" style="2" hidden="1" customWidth="1"/>
    <col min="15870" max="15870" width="11.42578125" style="2" customWidth="1"/>
    <col min="15871" max="15871" width="10" style="2" bestFit="1" customWidth="1"/>
    <col min="15872" max="15877" width="11.42578125" style="2" customWidth="1"/>
    <col min="15878" max="15880" width="0" style="2" hidden="1" customWidth="1"/>
    <col min="15881" max="16120" width="9.140625" style="2"/>
    <col min="16121" max="16121" width="10.28515625" style="2" customWidth="1"/>
    <col min="16122" max="16122" width="49.42578125" style="2" customWidth="1"/>
    <col min="16123" max="16123" width="40.140625" style="2" customWidth="1"/>
    <col min="16124" max="16124" width="14.140625" style="2" customWidth="1"/>
    <col min="16125" max="16125" width="0" style="2" hidden="1" customWidth="1"/>
    <col min="16126" max="16126" width="11.42578125" style="2" customWidth="1"/>
    <col min="16127" max="16127" width="10" style="2" bestFit="1" customWidth="1"/>
    <col min="16128" max="16133" width="11.42578125" style="2" customWidth="1"/>
    <col min="16134" max="16136" width="0" style="2" hidden="1" customWidth="1"/>
    <col min="16137" max="16384" width="9.140625" style="2"/>
  </cols>
  <sheetData>
    <row r="1" spans="2:10" s="1" customFormat="1" ht="12.75" x14ac:dyDescent="0.2">
      <c r="B1" s="933"/>
      <c r="C1" s="933"/>
      <c r="D1" s="933"/>
      <c r="E1" s="933"/>
      <c r="F1" s="358"/>
      <c r="G1" s="368"/>
      <c r="H1" s="368"/>
      <c r="I1" s="368"/>
      <c r="J1" s="476"/>
    </row>
    <row r="2" spans="2:10" s="1" customFormat="1" ht="12.75" x14ac:dyDescent="0.2">
      <c r="B2" s="937" t="s">
        <v>1041</v>
      </c>
      <c r="C2" s="937"/>
      <c r="D2" s="937"/>
      <c r="E2" s="937"/>
      <c r="F2" s="359"/>
      <c r="G2" s="368"/>
      <c r="H2" s="368"/>
      <c r="I2" s="368"/>
      <c r="J2" s="476"/>
    </row>
    <row r="3" spans="2:10" s="1" customFormat="1" ht="12.75" x14ac:dyDescent="0.2">
      <c r="B3" s="937"/>
      <c r="C3" s="937"/>
      <c r="D3" s="937"/>
      <c r="E3" s="937"/>
      <c r="F3" s="359"/>
      <c r="G3" s="368"/>
      <c r="H3" s="368"/>
      <c r="I3" s="368"/>
      <c r="J3" s="476"/>
    </row>
    <row r="4" spans="2:10" x14ac:dyDescent="0.25">
      <c r="C4" s="934" t="s">
        <v>0</v>
      </c>
      <c r="D4" s="934"/>
      <c r="E4" s="3"/>
    </row>
    <row r="5" spans="2:10" x14ac:dyDescent="0.25">
      <c r="C5" s="5"/>
      <c r="G5" s="463"/>
      <c r="H5" s="463"/>
      <c r="I5" s="544">
        <v>8.1293109999999995</v>
      </c>
    </row>
    <row r="6" spans="2:10" x14ac:dyDescent="0.25">
      <c r="B6" s="935" t="s">
        <v>1</v>
      </c>
      <c r="C6" s="936"/>
      <c r="D6" s="6" t="s">
        <v>2</v>
      </c>
      <c r="F6" s="360"/>
      <c r="G6" s="465" t="s">
        <v>116</v>
      </c>
      <c r="H6" s="466">
        <v>1165172.9262333501</v>
      </c>
      <c r="I6" s="466">
        <f t="shared" ref="I6:I26" si="0">H6/$I$5</f>
        <v>143329.85</v>
      </c>
      <c r="J6" s="578">
        <f>I6-D12</f>
        <v>0</v>
      </c>
    </row>
    <row r="7" spans="2:10" x14ac:dyDescent="0.25">
      <c r="B7" s="150">
        <v>1</v>
      </c>
      <c r="C7" s="7" t="s">
        <v>3</v>
      </c>
      <c r="D7" s="8">
        <v>0</v>
      </c>
      <c r="F7" s="361"/>
      <c r="G7" s="467" t="s">
        <v>108</v>
      </c>
      <c r="H7" s="466">
        <v>1059464.2435759499</v>
      </c>
      <c r="I7" s="466">
        <f t="shared" si="0"/>
        <v>130326.45</v>
      </c>
      <c r="J7" s="578">
        <f t="shared" ref="J7:J11" si="1">I7-D13</f>
        <v>0</v>
      </c>
    </row>
    <row r="8" spans="2:10" x14ac:dyDescent="0.25">
      <c r="B8" s="363">
        <v>2</v>
      </c>
      <c r="C8" s="7" t="s">
        <v>4</v>
      </c>
      <c r="D8" s="8">
        <v>0</v>
      </c>
      <c r="F8" s="361"/>
      <c r="G8" s="465" t="s">
        <v>119</v>
      </c>
      <c r="H8" s="466">
        <v>257267.89</v>
      </c>
      <c r="I8" s="466">
        <f t="shared" si="0"/>
        <v>31646.948923469656</v>
      </c>
      <c r="J8" s="578">
        <f t="shared" si="1"/>
        <v>0</v>
      </c>
    </row>
    <row r="9" spans="2:10" x14ac:dyDescent="0.25">
      <c r="B9" s="150">
        <v>3</v>
      </c>
      <c r="C9" s="9" t="s">
        <v>5</v>
      </c>
      <c r="D9" s="10">
        <v>0</v>
      </c>
      <c r="F9" s="362"/>
      <c r="G9" s="465" t="s">
        <v>395</v>
      </c>
      <c r="H9" s="466">
        <v>0</v>
      </c>
      <c r="I9" s="466">
        <f t="shared" si="0"/>
        <v>0</v>
      </c>
      <c r="J9" s="578">
        <f t="shared" si="1"/>
        <v>0</v>
      </c>
    </row>
    <row r="10" spans="2:10" x14ac:dyDescent="0.25">
      <c r="B10" s="363"/>
      <c r="C10" s="11"/>
      <c r="G10" s="465" t="s">
        <v>120</v>
      </c>
      <c r="H10" s="466">
        <v>433642.16184543999</v>
      </c>
      <c r="I10" s="466">
        <f t="shared" si="0"/>
        <v>53343.040000000001</v>
      </c>
      <c r="J10" s="578">
        <f t="shared" si="1"/>
        <v>0</v>
      </c>
    </row>
    <row r="11" spans="2:10" x14ac:dyDescent="0.25">
      <c r="B11" s="935" t="s">
        <v>6</v>
      </c>
      <c r="C11" s="936"/>
      <c r="D11" s="12"/>
      <c r="E11" s="17"/>
      <c r="G11" s="468" t="s">
        <v>396</v>
      </c>
      <c r="H11" s="469">
        <v>2048262.8979638601</v>
      </c>
      <c r="I11" s="469">
        <f t="shared" si="0"/>
        <v>251960.20892346968</v>
      </c>
      <c r="J11" s="578">
        <f t="shared" si="1"/>
        <v>0</v>
      </c>
    </row>
    <row r="12" spans="2:10" x14ac:dyDescent="0.25">
      <c r="B12" s="150">
        <v>4</v>
      </c>
      <c r="C12" s="13" t="s">
        <v>7</v>
      </c>
      <c r="D12" s="26">
        <f>I6</f>
        <v>143329.85</v>
      </c>
      <c r="G12" s="467" t="s">
        <v>123</v>
      </c>
      <c r="H12" s="466">
        <v>1775463.7967121399</v>
      </c>
      <c r="I12" s="466">
        <f t="shared" si="0"/>
        <v>218402.74</v>
      </c>
      <c r="J12" s="578">
        <f t="shared" ref="J12:J17" si="2">I12-D18</f>
        <v>0</v>
      </c>
    </row>
    <row r="13" spans="2:10" x14ac:dyDescent="0.25">
      <c r="B13" s="474">
        <v>5</v>
      </c>
      <c r="C13" s="13" t="s">
        <v>8</v>
      </c>
      <c r="D13" s="26">
        <f>I7</f>
        <v>130326.45</v>
      </c>
      <c r="G13" s="467" t="s">
        <v>124</v>
      </c>
      <c r="H13" s="466">
        <v>0</v>
      </c>
      <c r="I13" s="466">
        <f t="shared" si="0"/>
        <v>0</v>
      </c>
      <c r="J13" s="578">
        <f t="shared" si="2"/>
        <v>0</v>
      </c>
    </row>
    <row r="14" spans="2:10" x14ac:dyDescent="0.25">
      <c r="B14" s="150">
        <v>6</v>
      </c>
      <c r="C14" s="13" t="s">
        <v>9</v>
      </c>
      <c r="D14" s="26">
        <f>I8</f>
        <v>31646.948923469656</v>
      </c>
      <c r="G14" s="465" t="s">
        <v>126</v>
      </c>
      <c r="H14" s="466">
        <v>366273.09831246</v>
      </c>
      <c r="I14" s="466">
        <f t="shared" si="0"/>
        <v>45055.86</v>
      </c>
      <c r="J14" s="578">
        <f t="shared" si="2"/>
        <v>0</v>
      </c>
    </row>
    <row r="15" spans="2:10" x14ac:dyDescent="0.25">
      <c r="B15" s="150">
        <v>7</v>
      </c>
      <c r="C15" s="13" t="s">
        <v>395</v>
      </c>
      <c r="D15" s="26">
        <f>I9</f>
        <v>0</v>
      </c>
      <c r="G15" s="465" t="s">
        <v>128</v>
      </c>
      <c r="H15" s="466">
        <v>0</v>
      </c>
      <c r="I15" s="466">
        <f t="shared" si="0"/>
        <v>0</v>
      </c>
      <c r="J15" s="578">
        <f t="shared" si="2"/>
        <v>0</v>
      </c>
    </row>
    <row r="16" spans="2:10" x14ac:dyDescent="0.25">
      <c r="B16" s="474">
        <v>8</v>
      </c>
      <c r="C16" s="13" t="s">
        <v>69</v>
      </c>
      <c r="D16" s="26">
        <f>I10</f>
        <v>53343.040000000001</v>
      </c>
      <c r="G16" s="465" t="s">
        <v>130</v>
      </c>
      <c r="H16" s="466">
        <v>249571.22968286998</v>
      </c>
      <c r="I16" s="466">
        <f t="shared" si="0"/>
        <v>30700.17</v>
      </c>
      <c r="J16" s="578">
        <f t="shared" si="2"/>
        <v>0</v>
      </c>
    </row>
    <row r="17" spans="2:10" x14ac:dyDescent="0.25">
      <c r="B17" s="150">
        <v>9</v>
      </c>
      <c r="C17" s="14" t="s">
        <v>10</v>
      </c>
      <c r="D17" s="15">
        <f>SUM(D12:D15)-D16</f>
        <v>251960.20892346962</v>
      </c>
      <c r="G17" s="467" t="s">
        <v>131</v>
      </c>
      <c r="H17" s="466">
        <v>206641.72027473999</v>
      </c>
      <c r="I17" s="466">
        <f t="shared" si="0"/>
        <v>25419.34</v>
      </c>
      <c r="J17" s="578">
        <f t="shared" si="2"/>
        <v>0</v>
      </c>
    </row>
    <row r="18" spans="2:10" x14ac:dyDescent="0.25">
      <c r="B18" s="150">
        <v>10</v>
      </c>
      <c r="C18" s="13" t="s">
        <v>11</v>
      </c>
      <c r="D18" s="25">
        <f t="shared" ref="D18:D23" si="3">I12</f>
        <v>218402.74</v>
      </c>
      <c r="G18" s="465" t="s">
        <v>132</v>
      </c>
      <c r="H18" s="466">
        <v>11847.820437619999</v>
      </c>
      <c r="I18" s="466">
        <f t="shared" si="0"/>
        <v>1457.42</v>
      </c>
      <c r="J18" s="578">
        <f t="shared" ref="J18:J25" si="4">I18-D25</f>
        <v>0</v>
      </c>
    </row>
    <row r="19" spans="2:10" x14ac:dyDescent="0.25">
      <c r="B19" s="474">
        <v>11</v>
      </c>
      <c r="C19" s="13" t="s">
        <v>12</v>
      </c>
      <c r="D19" s="23">
        <f t="shared" si="3"/>
        <v>0</v>
      </c>
      <c r="G19" s="467" t="s">
        <v>133</v>
      </c>
      <c r="H19" s="466">
        <v>153079.64113038001</v>
      </c>
      <c r="I19" s="466">
        <f t="shared" si="0"/>
        <v>18830.580000000002</v>
      </c>
      <c r="J19" s="578">
        <f t="shared" si="4"/>
        <v>0</v>
      </c>
    </row>
    <row r="20" spans="2:10" x14ac:dyDescent="0.25">
      <c r="B20" s="150">
        <v>12</v>
      </c>
      <c r="C20" s="13" t="s">
        <v>13</v>
      </c>
      <c r="D20" s="25">
        <f t="shared" si="3"/>
        <v>45055.86</v>
      </c>
      <c r="G20" s="467" t="s">
        <v>134</v>
      </c>
      <c r="H20" s="466">
        <v>5495.4142359999996</v>
      </c>
      <c r="I20" s="466">
        <f t="shared" si="0"/>
        <v>676</v>
      </c>
      <c r="J20" s="578">
        <f t="shared" si="4"/>
        <v>0</v>
      </c>
    </row>
    <row r="21" spans="2:10" x14ac:dyDescent="0.25">
      <c r="B21" s="150">
        <v>13</v>
      </c>
      <c r="C21" s="13" t="s">
        <v>14</v>
      </c>
      <c r="D21" s="24">
        <f t="shared" si="3"/>
        <v>0</v>
      </c>
      <c r="G21" s="467" t="s">
        <v>135</v>
      </c>
      <c r="H21" s="466">
        <v>37801.296149999995</v>
      </c>
      <c r="I21" s="466">
        <f t="shared" si="0"/>
        <v>4650</v>
      </c>
      <c r="J21" s="578">
        <f t="shared" si="4"/>
        <v>0</v>
      </c>
    </row>
    <row r="22" spans="2:10" x14ac:dyDescent="0.25">
      <c r="B22" s="474">
        <v>14</v>
      </c>
      <c r="C22" s="13" t="s">
        <v>15</v>
      </c>
      <c r="D22" s="22">
        <f t="shared" si="3"/>
        <v>30700.17</v>
      </c>
      <c r="G22" s="465" t="s">
        <v>136</v>
      </c>
      <c r="H22" s="466">
        <v>268.633081995</v>
      </c>
      <c r="I22" s="466">
        <f t="shared" si="0"/>
        <v>33.045000000000002</v>
      </c>
      <c r="J22" s="578">
        <f t="shared" si="4"/>
        <v>0</v>
      </c>
    </row>
    <row r="23" spans="2:10" x14ac:dyDescent="0.25">
      <c r="B23" s="150">
        <v>15</v>
      </c>
      <c r="C23" s="13" t="s">
        <v>16</v>
      </c>
      <c r="D23" s="22">
        <f t="shared" si="3"/>
        <v>25419.34</v>
      </c>
      <c r="G23" s="465" t="s">
        <v>397</v>
      </c>
      <c r="H23" s="466">
        <v>2298047.8559843698</v>
      </c>
      <c r="I23" s="466">
        <f t="shared" si="0"/>
        <v>282686.67</v>
      </c>
      <c r="J23" s="578">
        <f t="shared" si="4"/>
        <v>0</v>
      </c>
    </row>
    <row r="24" spans="2:10" x14ac:dyDescent="0.25">
      <c r="B24" s="150">
        <v>16</v>
      </c>
      <c r="C24" s="13" t="s">
        <v>17</v>
      </c>
      <c r="D24" s="22">
        <v>0</v>
      </c>
      <c r="G24" s="470" t="s">
        <v>398</v>
      </c>
      <c r="H24" s="466">
        <v>681641.779960096</v>
      </c>
      <c r="I24" s="466">
        <f t="shared" si="0"/>
        <v>83849.883459999997</v>
      </c>
      <c r="J24" s="578">
        <f t="shared" si="4"/>
        <v>0</v>
      </c>
    </row>
    <row r="25" spans="2:10" x14ac:dyDescent="0.25">
      <c r="B25" s="474">
        <v>17</v>
      </c>
      <c r="C25" s="13" t="s">
        <v>18</v>
      </c>
      <c r="D25" s="22">
        <f t="shared" ref="D25:D30" si="5">I18</f>
        <v>1457.42</v>
      </c>
      <c r="G25" s="468" t="s">
        <v>463</v>
      </c>
      <c r="H25" s="469">
        <v>126786.60847808234</v>
      </c>
      <c r="I25" s="469">
        <f t="shared" si="0"/>
        <v>15596.230538858994</v>
      </c>
      <c r="J25" s="578">
        <f t="shared" si="4"/>
        <v>0</v>
      </c>
    </row>
    <row r="26" spans="2:10" x14ac:dyDescent="0.25">
      <c r="B26" s="150">
        <v>18</v>
      </c>
      <c r="C26" s="13" t="s">
        <v>19</v>
      </c>
      <c r="D26" s="22">
        <f t="shared" si="5"/>
        <v>18830.580000000002</v>
      </c>
      <c r="G26" s="468" t="s">
        <v>399</v>
      </c>
      <c r="H26" s="469">
        <v>1748229.303559517</v>
      </c>
      <c r="I26" s="469">
        <f t="shared" si="0"/>
        <v>215052.57992461073</v>
      </c>
      <c r="J26" s="578">
        <f>(SUM(D17:D29)-D30-D32-D31)-I26</f>
        <v>0</v>
      </c>
    </row>
    <row r="27" spans="2:10" x14ac:dyDescent="0.25">
      <c r="B27" s="150">
        <v>19</v>
      </c>
      <c r="C27" s="13" t="s">
        <v>20</v>
      </c>
      <c r="D27" s="22">
        <f t="shared" si="5"/>
        <v>676</v>
      </c>
      <c r="G27" s="463"/>
      <c r="H27" s="463">
        <v>2150914.2101122104</v>
      </c>
      <c r="I27" s="463"/>
      <c r="J27" s="477"/>
    </row>
    <row r="28" spans="2:10" x14ac:dyDescent="0.25">
      <c r="B28" s="150">
        <v>20</v>
      </c>
      <c r="C28" s="13" t="s">
        <v>21</v>
      </c>
      <c r="D28" s="22">
        <f t="shared" si="5"/>
        <v>4650</v>
      </c>
      <c r="G28" s="471" t="s">
        <v>146</v>
      </c>
      <c r="H28" s="469">
        <v>70357.00999999998</v>
      </c>
      <c r="I28" s="469">
        <f t="shared" ref="I28:I39" si="6">H28/$I$5</f>
        <v>8654.7322399155328</v>
      </c>
      <c r="J28" s="578">
        <f t="shared" ref="J28:J34" si="7">I28-D34</f>
        <v>0</v>
      </c>
    </row>
    <row r="29" spans="2:10" x14ac:dyDescent="0.25">
      <c r="B29" s="474">
        <v>21</v>
      </c>
      <c r="C29" s="13" t="s">
        <v>22</v>
      </c>
      <c r="D29" s="22">
        <f t="shared" si="5"/>
        <v>33.045000000000002</v>
      </c>
      <c r="G29" s="471" t="s">
        <v>147</v>
      </c>
      <c r="H29" s="469">
        <v>34455.406624976931</v>
      </c>
      <c r="I29" s="469">
        <f t="shared" si="6"/>
        <v>4238.4165921290169</v>
      </c>
      <c r="J29" s="578">
        <f t="shared" si="7"/>
        <v>0</v>
      </c>
    </row>
    <row r="30" spans="2:10" x14ac:dyDescent="0.25">
      <c r="B30" s="150">
        <v>22</v>
      </c>
      <c r="C30" s="13" t="s">
        <v>90</v>
      </c>
      <c r="D30" s="22">
        <f t="shared" si="5"/>
        <v>282686.67</v>
      </c>
      <c r="G30" s="472" t="s">
        <v>148</v>
      </c>
      <c r="H30" s="469">
        <v>48277.054372141385</v>
      </c>
      <c r="I30" s="469">
        <f t="shared" si="6"/>
        <v>5938.6403561312127</v>
      </c>
      <c r="J30" s="578">
        <f>I30-D36</f>
        <v>0</v>
      </c>
    </row>
    <row r="31" spans="2:10" x14ac:dyDescent="0.25">
      <c r="B31" s="150">
        <v>23</v>
      </c>
      <c r="C31" s="13" t="s">
        <v>402</v>
      </c>
      <c r="D31" s="22">
        <f>I24</f>
        <v>83849.883459999997</v>
      </c>
      <c r="G31" s="473" t="s">
        <v>962</v>
      </c>
      <c r="H31" s="469">
        <v>0</v>
      </c>
      <c r="I31" s="469">
        <f t="shared" si="6"/>
        <v>0</v>
      </c>
      <c r="J31" s="578">
        <f t="shared" si="7"/>
        <v>0</v>
      </c>
    </row>
    <row r="32" spans="2:10" x14ac:dyDescent="0.25">
      <c r="B32" s="150">
        <v>24</v>
      </c>
      <c r="C32" s="13" t="s">
        <v>464</v>
      </c>
      <c r="D32" s="22">
        <f>I25</f>
        <v>15596.230538858994</v>
      </c>
      <c r="G32" s="473" t="s">
        <v>134</v>
      </c>
      <c r="H32" s="469">
        <v>0</v>
      </c>
      <c r="I32" s="469">
        <f t="shared" si="6"/>
        <v>0</v>
      </c>
      <c r="J32" s="578">
        <f t="shared" si="7"/>
        <v>0</v>
      </c>
    </row>
    <row r="33" spans="2:10" x14ac:dyDescent="0.25">
      <c r="B33" s="474">
        <v>25</v>
      </c>
      <c r="C33" s="13" t="s">
        <v>86</v>
      </c>
      <c r="D33" s="22">
        <v>0</v>
      </c>
      <c r="G33" s="473" t="s">
        <v>135</v>
      </c>
      <c r="H33" s="469">
        <v>0</v>
      </c>
      <c r="I33" s="469">
        <f t="shared" si="6"/>
        <v>0</v>
      </c>
      <c r="J33" s="578">
        <f t="shared" si="7"/>
        <v>0</v>
      </c>
    </row>
    <row r="34" spans="2:10" x14ac:dyDescent="0.25">
      <c r="B34" s="150">
        <v>26</v>
      </c>
      <c r="C34" s="13" t="s">
        <v>431</v>
      </c>
      <c r="D34" s="171">
        <f>I28</f>
        <v>8654.7322399155328</v>
      </c>
      <c r="G34" s="471" t="s">
        <v>149</v>
      </c>
      <c r="H34" s="469">
        <v>2362.6415999999999</v>
      </c>
      <c r="I34" s="469">
        <f t="shared" si="6"/>
        <v>290.63245335305783</v>
      </c>
      <c r="J34" s="578">
        <f t="shared" si="7"/>
        <v>0</v>
      </c>
    </row>
    <row r="35" spans="2:10" x14ac:dyDescent="0.25">
      <c r="B35" s="150">
        <v>27</v>
      </c>
      <c r="C35" s="13" t="s">
        <v>147</v>
      </c>
      <c r="D35" s="171">
        <f>$I$29</f>
        <v>4238.4165921290169</v>
      </c>
      <c r="G35" s="471" t="s">
        <v>521</v>
      </c>
      <c r="H35" s="469">
        <v>0</v>
      </c>
      <c r="I35" s="469">
        <f t="shared" si="6"/>
        <v>0</v>
      </c>
      <c r="J35" s="578">
        <f>I35-D41</f>
        <v>0</v>
      </c>
    </row>
    <row r="36" spans="2:10" x14ac:dyDescent="0.25">
      <c r="B36" s="150">
        <v>28</v>
      </c>
      <c r="C36" s="13" t="s">
        <v>148</v>
      </c>
      <c r="D36" s="171">
        <f>$I$30</f>
        <v>5938.6403561312127</v>
      </c>
      <c r="G36" s="467" t="s">
        <v>963</v>
      </c>
      <c r="H36" s="469">
        <v>4473.38</v>
      </c>
      <c r="I36" s="469">
        <f t="shared" si="6"/>
        <v>550.27787717802903</v>
      </c>
      <c r="J36" s="578">
        <f>I36-D42</f>
        <v>0</v>
      </c>
    </row>
    <row r="37" spans="2:10" x14ac:dyDescent="0.25">
      <c r="B37" s="474">
        <v>29</v>
      </c>
      <c r="C37" s="13" t="s">
        <v>133</v>
      </c>
      <c r="D37" s="171">
        <f>$I$31</f>
        <v>0</v>
      </c>
      <c r="G37" s="468" t="s">
        <v>964</v>
      </c>
      <c r="H37" s="469">
        <v>282143.22580799996</v>
      </c>
      <c r="I37" s="469">
        <f t="shared" si="6"/>
        <v>34706.905149526196</v>
      </c>
      <c r="J37" s="578">
        <f>I37-D43</f>
        <v>0</v>
      </c>
    </row>
    <row r="38" spans="2:10" x14ac:dyDescent="0.25">
      <c r="B38" s="150">
        <v>30</v>
      </c>
      <c r="C38" s="13" t="s">
        <v>134</v>
      </c>
      <c r="D38" s="171">
        <f>$I$32</f>
        <v>0</v>
      </c>
      <c r="G38" s="468" t="s">
        <v>150</v>
      </c>
      <c r="H38" s="469">
        <v>30408.940000000013</v>
      </c>
      <c r="I38" s="469">
        <f t="shared" si="6"/>
        <v>3740.6540357479271</v>
      </c>
      <c r="J38" s="578">
        <f>I38-D45</f>
        <v>0</v>
      </c>
    </row>
    <row r="39" spans="2:10" x14ac:dyDescent="0.25">
      <c r="B39" s="150">
        <v>31</v>
      </c>
      <c r="C39" s="13" t="s">
        <v>135</v>
      </c>
      <c r="D39" s="171">
        <f>$I$33</f>
        <v>0</v>
      </c>
      <c r="G39" s="468" t="s">
        <v>151</v>
      </c>
      <c r="H39" s="469">
        <v>472477.65840511821</v>
      </c>
      <c r="I39" s="469">
        <f t="shared" si="6"/>
        <v>58120.258703980973</v>
      </c>
    </row>
    <row r="40" spans="2:10" x14ac:dyDescent="0.25">
      <c r="B40" s="150">
        <v>32</v>
      </c>
      <c r="C40" s="13" t="s">
        <v>149</v>
      </c>
      <c r="D40" s="171">
        <f>$I$34</f>
        <v>290.63245335305783</v>
      </c>
      <c r="J40" s="578">
        <f>SUM(D34:D45)-I39</f>
        <v>0</v>
      </c>
    </row>
    <row r="41" spans="2:10" x14ac:dyDescent="0.25">
      <c r="B41" s="150"/>
      <c r="C41" s="13" t="s">
        <v>521</v>
      </c>
      <c r="D41" s="171">
        <f>+I35</f>
        <v>0</v>
      </c>
      <c r="J41" s="578">
        <f>SUM(D34:D46)-I39</f>
        <v>0</v>
      </c>
    </row>
    <row r="42" spans="2:10" x14ac:dyDescent="0.25">
      <c r="B42" s="150"/>
      <c r="C42" s="13" t="s">
        <v>963</v>
      </c>
      <c r="D42" s="171">
        <f>+I36</f>
        <v>550.27787717802903</v>
      </c>
      <c r="J42" s="578"/>
    </row>
    <row r="43" spans="2:10" x14ac:dyDescent="0.25">
      <c r="B43" s="150"/>
      <c r="C43" s="13" t="s">
        <v>964</v>
      </c>
      <c r="D43" s="171">
        <f>+I37</f>
        <v>34706.905149526196</v>
      </c>
      <c r="J43" s="579"/>
    </row>
    <row r="44" spans="2:10" x14ac:dyDescent="0.25">
      <c r="B44" s="150">
        <v>32.1</v>
      </c>
      <c r="C44" s="13" t="s">
        <v>467</v>
      </c>
      <c r="D44" s="171">
        <v>0</v>
      </c>
      <c r="J44" s="477"/>
    </row>
    <row r="45" spans="2:10" x14ac:dyDescent="0.25">
      <c r="B45" s="474">
        <v>33</v>
      </c>
      <c r="C45" s="13" t="s">
        <v>150</v>
      </c>
      <c r="D45" s="171">
        <f>+I38</f>
        <v>3740.6540357479271</v>
      </c>
      <c r="I45" s="529"/>
    </row>
    <row r="46" spans="2:10" x14ac:dyDescent="0.25">
      <c r="B46" s="150">
        <v>34</v>
      </c>
      <c r="C46" s="13" t="s">
        <v>444</v>
      </c>
      <c r="D46" s="171">
        <v>0</v>
      </c>
      <c r="I46" s="529"/>
    </row>
    <row r="47" spans="2:10" x14ac:dyDescent="0.25">
      <c r="B47" s="475">
        <v>35</v>
      </c>
      <c r="C47" s="14" t="s">
        <v>24</v>
      </c>
      <c r="D47" s="580">
        <f>SUM(D17:D29)-D30+D31-D32-SUM(D34:D45)-D29-D25+D46-D31</f>
        <v>239291.73968062981</v>
      </c>
      <c r="E47" s="529"/>
    </row>
    <row r="48" spans="2:10" x14ac:dyDescent="0.25">
      <c r="D48" s="4">
        <f>+'REPORTE COBRANZA N'!C69</f>
        <v>79040.85038238659</v>
      </c>
    </row>
    <row r="49" spans="4:4" x14ac:dyDescent="0.25">
      <c r="D49" s="4">
        <f>+D47-D48</f>
        <v>160250.88929824322</v>
      </c>
    </row>
    <row r="61" spans="4:4" x14ac:dyDescent="0.25">
      <c r="D61" s="4" t="s">
        <v>202</v>
      </c>
    </row>
    <row r="66" spans="10:12" x14ac:dyDescent="0.25">
      <c r="L66" s="4" t="e">
        <f>+#REF!</f>
        <v>#REF!</v>
      </c>
    </row>
    <row r="67" spans="10:12" x14ac:dyDescent="0.25">
      <c r="L67" s="4" t="e">
        <f>+#REF!+#REF!+#REF!+#REF!</f>
        <v>#REF!</v>
      </c>
    </row>
    <row r="68" spans="10:12" x14ac:dyDescent="0.25">
      <c r="J68" s="464">
        <v>528202.44772425306</v>
      </c>
      <c r="L68" s="4" t="e">
        <f>+L66-L67</f>
        <v>#REF!</v>
      </c>
    </row>
    <row r="69" spans="10:12" x14ac:dyDescent="0.25">
      <c r="J69" s="464">
        <v>126994.740078125</v>
      </c>
    </row>
  </sheetData>
  <mergeCells count="5">
    <mergeCell ref="B1:E1"/>
    <mergeCell ref="C4:D4"/>
    <mergeCell ref="B6:C6"/>
    <mergeCell ref="B11:C11"/>
    <mergeCell ref="B2:E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FE6DE-7569-4B3A-996A-AA044F1BE87B}">
  <sheetPr>
    <pageSetUpPr fitToPage="1"/>
  </sheetPr>
  <dimension ref="A1:S34"/>
  <sheetViews>
    <sheetView showGridLines="0" view="pageBreakPreview" topLeftCell="A9" zoomScaleNormal="100" zoomScaleSheetLayoutView="100" workbookViewId="0">
      <selection activeCell="I16" sqref="I16"/>
    </sheetView>
  </sheetViews>
  <sheetFormatPr baseColWidth="10" defaultColWidth="14.42578125" defaultRowHeight="15" customHeight="1" x14ac:dyDescent="0.2"/>
  <cols>
    <col min="1" max="1" width="2" style="548" customWidth="1"/>
    <col min="2" max="2" width="18.28515625" style="548" customWidth="1"/>
    <col min="3" max="3" width="17.28515625" style="548" customWidth="1"/>
    <col min="4" max="4" width="17.140625" style="548" customWidth="1"/>
    <col min="5" max="5" width="14.28515625" style="548" customWidth="1"/>
    <col min="6" max="6" width="10.28515625" style="548" bestFit="1" customWidth="1"/>
    <col min="7" max="7" width="19.28515625" style="548" customWidth="1"/>
    <col min="8" max="8" width="39.5703125" style="548" customWidth="1"/>
    <col min="9" max="9" width="11.7109375" style="548" customWidth="1"/>
    <col min="10" max="10" width="11.5703125" style="548" customWidth="1"/>
    <col min="11" max="11" width="9.42578125" style="548" customWidth="1"/>
    <col min="12" max="12" width="11.28515625" style="548" customWidth="1"/>
    <col min="13" max="13" width="12.42578125" style="548" customWidth="1"/>
    <col min="14" max="15" width="10.28515625" style="574" customWidth="1"/>
    <col min="16" max="16" width="23.5703125" style="574" customWidth="1"/>
    <col min="17" max="17" width="13.42578125" style="574" customWidth="1"/>
    <col min="18" max="18" width="11.140625" style="574" customWidth="1"/>
    <col min="19" max="19" width="14" style="574" customWidth="1"/>
    <col min="20" max="26" width="9.140625" style="548" customWidth="1"/>
    <col min="27" max="16384" width="14.42578125" style="548"/>
  </cols>
  <sheetData>
    <row r="1" spans="1:10" ht="12.75" customHeight="1" x14ac:dyDescent="0.2">
      <c r="B1" s="547"/>
      <c r="C1" s="547"/>
      <c r="D1" s="547"/>
      <c r="E1" s="547"/>
      <c r="F1" s="547"/>
      <c r="G1" s="547"/>
      <c r="H1" s="547"/>
      <c r="I1" s="547"/>
      <c r="J1" s="547"/>
    </row>
    <row r="2" spans="1:10" ht="18" customHeight="1" x14ac:dyDescent="0.25">
      <c r="A2" s="938" t="s">
        <v>1040</v>
      </c>
      <c r="B2" s="938"/>
      <c r="C2" s="938"/>
      <c r="D2" s="938"/>
      <c r="E2" s="938"/>
      <c r="F2" s="938"/>
      <c r="G2" s="938"/>
      <c r="H2" s="938"/>
      <c r="I2" s="938"/>
      <c r="J2" s="938"/>
    </row>
    <row r="3" spans="1:10" ht="12.75" customHeight="1" x14ac:dyDescent="0.2">
      <c r="B3" s="547"/>
      <c r="C3" s="547"/>
      <c r="D3" s="547"/>
      <c r="E3" s="547"/>
      <c r="F3" s="547"/>
      <c r="G3" s="547"/>
      <c r="H3" s="547"/>
      <c r="I3" s="547"/>
      <c r="J3" s="549"/>
    </row>
    <row r="4" spans="1:10" ht="12.75" customHeight="1" x14ac:dyDescent="0.2">
      <c r="B4" s="939" t="s">
        <v>483</v>
      </c>
      <c r="C4" s="940"/>
      <c r="D4" s="550">
        <v>45529</v>
      </c>
      <c r="E4" s="551">
        <v>8.2522610000000007</v>
      </c>
      <c r="F4" s="547"/>
      <c r="G4" s="556"/>
      <c r="H4" s="556"/>
      <c r="I4" s="556"/>
      <c r="J4" s="556"/>
    </row>
    <row r="5" spans="1:10" ht="12.75" customHeight="1" x14ac:dyDescent="0.2">
      <c r="B5" s="547"/>
      <c r="C5" s="547"/>
      <c r="D5" s="547"/>
      <c r="E5" s="547"/>
      <c r="F5" s="547"/>
      <c r="G5" s="556"/>
      <c r="H5" s="947"/>
      <c r="I5" s="947"/>
      <c r="J5" s="947"/>
    </row>
    <row r="6" spans="1:10" ht="12.75" customHeight="1" x14ac:dyDescent="0.2">
      <c r="B6" s="944" t="s">
        <v>484</v>
      </c>
      <c r="C6" s="945"/>
      <c r="D6" s="945"/>
      <c r="E6" s="945"/>
      <c r="F6" s="945"/>
      <c r="G6" s="556"/>
      <c r="H6" s="947"/>
      <c r="I6" s="947"/>
      <c r="J6" s="947"/>
    </row>
    <row r="7" spans="1:10" ht="36" x14ac:dyDescent="0.2">
      <c r="B7" s="563" t="s">
        <v>303</v>
      </c>
      <c r="C7" s="563" t="s">
        <v>306</v>
      </c>
      <c r="D7" s="563" t="s">
        <v>485</v>
      </c>
      <c r="E7" s="563" t="s">
        <v>486</v>
      </c>
      <c r="F7" s="563" t="s">
        <v>71</v>
      </c>
      <c r="G7" s="556"/>
      <c r="H7" s="947"/>
      <c r="I7" s="947"/>
      <c r="J7" s="947"/>
    </row>
    <row r="8" spans="1:10" ht="12.75" customHeight="1" x14ac:dyDescent="0.2">
      <c r="B8" s="552" t="s">
        <v>309</v>
      </c>
      <c r="C8" s="553">
        <f>'REPORTE COBRANZA N'!E71</f>
        <v>2055706.5</v>
      </c>
      <c r="D8" s="554">
        <v>6.5000000000000006E-3</v>
      </c>
      <c r="E8" s="555">
        <f>(((D8/12)*C8))</f>
        <v>1113.5076875000002</v>
      </c>
      <c r="F8" s="555">
        <f>E8*$E$4</f>
        <v>9188.9560627564406</v>
      </c>
      <c r="G8" s="556"/>
      <c r="H8" s="556"/>
      <c r="I8" s="557"/>
      <c r="J8" s="557"/>
    </row>
    <row r="9" spans="1:10" ht="12.75" customHeight="1" x14ac:dyDescent="0.25">
      <c r="B9" s="552" t="s">
        <v>310</v>
      </c>
      <c r="C9" s="553">
        <f>'REPORTE COBRANZA N'!E72</f>
        <v>320523.64</v>
      </c>
      <c r="D9" s="554">
        <v>5.7200000000000003E-3</v>
      </c>
      <c r="E9" s="555">
        <f t="shared" ref="E9:E15" si="0">(((D9/12)*C9))</f>
        <v>152.78293506666668</v>
      </c>
      <c r="F9" s="555">
        <f t="shared" ref="F9:F15" si="1">E9*$E$4</f>
        <v>1260.804656516186</v>
      </c>
      <c r="G9" s="558"/>
      <c r="H9" s="946" t="s">
        <v>500</v>
      </c>
      <c r="I9" s="946"/>
      <c r="J9" s="557"/>
    </row>
    <row r="10" spans="1:10" ht="12.75" customHeight="1" x14ac:dyDescent="0.2">
      <c r="B10" s="552" t="s">
        <v>311</v>
      </c>
      <c r="C10" s="553">
        <f>'REPORTE COBRANZA N'!E73</f>
        <v>44340.800000000003</v>
      </c>
      <c r="D10" s="554">
        <v>5.7200000000000003E-3</v>
      </c>
      <c r="E10" s="555">
        <f t="shared" si="0"/>
        <v>21.135781333333334</v>
      </c>
      <c r="F10" s="555">
        <f t="shared" si="1"/>
        <v>174.41798400159468</v>
      </c>
      <c r="G10" s="558"/>
      <c r="H10" s="576" t="s">
        <v>501</v>
      </c>
      <c r="I10" s="576">
        <f>E32</f>
        <v>36331.99153755045</v>
      </c>
      <c r="J10" s="557"/>
    </row>
    <row r="11" spans="1:10" ht="12.75" customHeight="1" x14ac:dyDescent="0.2">
      <c r="B11" s="552" t="s">
        <v>312</v>
      </c>
      <c r="C11" s="553">
        <f>'REPORTE COBRANZA N'!E74</f>
        <v>113234.98</v>
      </c>
      <c r="D11" s="554">
        <v>5.7200000000000003E-3</v>
      </c>
      <c r="E11" s="555">
        <f t="shared" si="0"/>
        <v>53.975340466666665</v>
      </c>
      <c r="F11" s="555">
        <f>E11*$E$4</f>
        <v>445.41859709479519</v>
      </c>
      <c r="G11" s="549"/>
      <c r="H11" s="576" t="s">
        <v>502</v>
      </c>
      <c r="I11" s="576">
        <f>I10*0.85</f>
        <v>30882.192806917883</v>
      </c>
      <c r="J11" s="559"/>
    </row>
    <row r="12" spans="1:10" ht="12.75" customHeight="1" x14ac:dyDescent="0.25">
      <c r="B12" s="552" t="s">
        <v>313</v>
      </c>
      <c r="C12" s="553">
        <f>'REPORTE COBRANZA N'!E75</f>
        <v>193712.76</v>
      </c>
      <c r="D12" s="554">
        <v>4.1600000000000005E-3</v>
      </c>
      <c r="E12" s="555">
        <f t="shared" si="0"/>
        <v>67.153756800000011</v>
      </c>
      <c r="F12" s="555">
        <f t="shared" si="1"/>
        <v>554.1703282441249</v>
      </c>
      <c r="G12"/>
      <c r="H12" s="575" t="s">
        <v>505</v>
      </c>
      <c r="I12" s="561">
        <f>I11*1.16</f>
        <v>35823.343656024743</v>
      </c>
      <c r="J12"/>
    </row>
    <row r="13" spans="1:10" ht="12.75" customHeight="1" x14ac:dyDescent="0.25">
      <c r="B13" s="552" t="s">
        <v>314</v>
      </c>
      <c r="C13" s="553">
        <f>'REPORTE COBRANZA N'!E76</f>
        <v>35422.230000000003</v>
      </c>
      <c r="D13" s="554">
        <v>4.1600000000000005E-3</v>
      </c>
      <c r="E13" s="555">
        <f t="shared" si="0"/>
        <v>12.279706400000004</v>
      </c>
      <c r="F13" s="555">
        <f t="shared" si="1"/>
        <v>101.33534221617045</v>
      </c>
      <c r="G13"/>
      <c r="H13"/>
      <c r="I13" s="19"/>
      <c r="J13" s="19"/>
    </row>
    <row r="14" spans="1:10" ht="12.75" customHeight="1" x14ac:dyDescent="0.25">
      <c r="B14" s="552" t="s">
        <v>315</v>
      </c>
      <c r="C14" s="553">
        <f>'REPORTE COBRANZA N'!E77</f>
        <v>0</v>
      </c>
      <c r="D14" s="554">
        <v>4.1600000000000005E-3</v>
      </c>
      <c r="E14" s="555">
        <f t="shared" si="0"/>
        <v>0</v>
      </c>
      <c r="F14" s="555">
        <f t="shared" si="1"/>
        <v>0</v>
      </c>
      <c r="G14"/>
      <c r="H14"/>
      <c r="I14"/>
      <c r="J14"/>
    </row>
    <row r="15" spans="1:10" ht="12.75" customHeight="1" x14ac:dyDescent="0.25">
      <c r="B15" s="552" t="s">
        <v>316</v>
      </c>
      <c r="C15" s="553">
        <f>'REPORTE COBRANZA N'!E78</f>
        <v>5111020.57</v>
      </c>
      <c r="D15" s="554">
        <v>1E-3</v>
      </c>
      <c r="E15" s="555">
        <f t="shared" si="0"/>
        <v>425.91838083333334</v>
      </c>
      <c r="F15" s="555">
        <f t="shared" si="1"/>
        <v>3514.7896433340647</v>
      </c>
      <c r="G15"/>
      <c r="H15" s="946" t="s">
        <v>503</v>
      </c>
      <c r="I15" s="946"/>
      <c r="J15"/>
    </row>
    <row r="16" spans="1:10" ht="12.75" customHeight="1" x14ac:dyDescent="0.25">
      <c r="B16" s="560" t="s">
        <v>318</v>
      </c>
      <c r="C16" s="561">
        <f>SUM(C8:C15)</f>
        <v>7873961.4800000004</v>
      </c>
      <c r="D16" s="561"/>
      <c r="E16" s="561">
        <f>SUM(E8:E15)</f>
        <v>1846.7535884000004</v>
      </c>
      <c r="F16" s="561">
        <f>SUM(F8:F15)</f>
        <v>15239.892614163376</v>
      </c>
      <c r="G16"/>
      <c r="H16" s="576" t="s">
        <v>501</v>
      </c>
      <c r="I16" s="576">
        <f>E32</f>
        <v>36331.99153755045</v>
      </c>
      <c r="J16"/>
    </row>
    <row r="17" spans="2:10" ht="12.75" customHeight="1" x14ac:dyDescent="0.25">
      <c r="B17" s="547"/>
      <c r="C17" s="547"/>
      <c r="D17" s="547"/>
      <c r="E17" s="547"/>
      <c r="F17" s="547"/>
      <c r="G17"/>
      <c r="H17" s="576" t="s">
        <v>504</v>
      </c>
      <c r="I17" s="576">
        <f>I16*0.15</f>
        <v>5449.7987306325676</v>
      </c>
      <c r="J17"/>
    </row>
    <row r="18" spans="2:10" ht="12.75" customHeight="1" x14ac:dyDescent="0.25">
      <c r="B18" s="562" t="s">
        <v>487</v>
      </c>
      <c r="C18" s="547"/>
      <c r="D18" s="547"/>
      <c r="E18" s="547"/>
      <c r="F18" s="547"/>
      <c r="G18"/>
      <c r="H18" s="575" t="s">
        <v>506</v>
      </c>
      <c r="I18" s="561">
        <f>I17*1.16</f>
        <v>6321.7665275337777</v>
      </c>
      <c r="J18"/>
    </row>
    <row r="19" spans="2:10" ht="24" x14ac:dyDescent="0.25">
      <c r="B19" s="547"/>
      <c r="C19" s="563" t="s">
        <v>488</v>
      </c>
      <c r="D19" s="563" t="s">
        <v>485</v>
      </c>
      <c r="E19" s="563" t="s">
        <v>489</v>
      </c>
      <c r="F19" s="547"/>
      <c r="G19"/>
      <c r="J19"/>
    </row>
    <row r="20" spans="2:10" ht="12.75" customHeight="1" x14ac:dyDescent="0.25">
      <c r="B20" s="547"/>
      <c r="C20" s="553">
        <f>'REPORTE COBRANZA N'!$H$82</f>
        <v>3067101.09</v>
      </c>
      <c r="D20" s="564">
        <v>0.01</v>
      </c>
      <c r="E20" s="555">
        <f>(((D20/12)*C20)*$E$4)</f>
        <v>21092.098923387075</v>
      </c>
      <c r="F20" s="547"/>
      <c r="G20"/>
      <c r="J20"/>
    </row>
    <row r="21" spans="2:10" ht="12.75" customHeight="1" x14ac:dyDescent="0.25">
      <c r="B21" s="547"/>
      <c r="C21" s="547"/>
      <c r="D21" s="547"/>
      <c r="E21" s="547"/>
      <c r="F21" s="547"/>
      <c r="G21"/>
      <c r="J21" s="19"/>
    </row>
    <row r="22" spans="2:10" ht="12.75" customHeight="1" x14ac:dyDescent="0.25">
      <c r="B22" s="562" t="s">
        <v>490</v>
      </c>
      <c r="C22" s="547"/>
      <c r="D22" s="547"/>
      <c r="E22" s="547"/>
      <c r="F22" s="547"/>
      <c r="J22" s="19"/>
    </row>
    <row r="23" spans="2:10" ht="24" x14ac:dyDescent="0.25">
      <c r="B23" s="563" t="s">
        <v>491</v>
      </c>
      <c r="C23" s="563" t="s">
        <v>492</v>
      </c>
      <c r="D23" s="563" t="s">
        <v>485</v>
      </c>
      <c r="E23" s="563" t="s">
        <v>489</v>
      </c>
      <c r="F23" s="547"/>
      <c r="J23"/>
    </row>
    <row r="24" spans="2:10" ht="12.75" customHeight="1" x14ac:dyDescent="0.25">
      <c r="B24" s="565" t="s">
        <v>493</v>
      </c>
      <c r="C24" s="553">
        <f>+'GASTOS Y COMISIONES'!R23</f>
        <v>0</v>
      </c>
      <c r="D24" s="941">
        <v>0.17</v>
      </c>
      <c r="E24" s="566">
        <f>(C24*D24)</f>
        <v>0</v>
      </c>
      <c r="F24" s="547"/>
      <c r="J24"/>
    </row>
    <row r="25" spans="2:10" ht="12.75" customHeight="1" x14ac:dyDescent="0.25">
      <c r="B25" s="565" t="s">
        <v>494</v>
      </c>
      <c r="C25" s="553">
        <v>0</v>
      </c>
      <c r="D25" s="942"/>
      <c r="E25" s="566">
        <f>(C25*D24)</f>
        <v>0</v>
      </c>
      <c r="F25" s="547"/>
      <c r="J25"/>
    </row>
    <row r="26" spans="2:10" ht="12.75" customHeight="1" x14ac:dyDescent="0.25">
      <c r="B26" s="565" t="s">
        <v>495</v>
      </c>
      <c r="C26" s="553">
        <v>0</v>
      </c>
      <c r="D26" s="943"/>
      <c r="E26" s="566">
        <f>(C26*D24)</f>
        <v>0</v>
      </c>
      <c r="F26" s="547"/>
      <c r="J26"/>
    </row>
    <row r="27" spans="2:10" ht="12.75" customHeight="1" x14ac:dyDescent="0.25">
      <c r="B27" s="547"/>
      <c r="C27" s="567"/>
      <c r="D27" s="568"/>
      <c r="E27" s="569"/>
      <c r="F27" s="547"/>
      <c r="J27"/>
    </row>
    <row r="28" spans="2:10" ht="17.25" customHeight="1" x14ac:dyDescent="0.25">
      <c r="B28" s="562" t="s">
        <v>496</v>
      </c>
      <c r="C28" s="547"/>
      <c r="D28" s="547"/>
      <c r="E28" s="547"/>
      <c r="F28" s="547"/>
      <c r="G28"/>
      <c r="J28"/>
    </row>
    <row r="29" spans="2:10" ht="12.75" customHeight="1" x14ac:dyDescent="0.25">
      <c r="B29" s="570" t="s">
        <v>498</v>
      </c>
      <c r="C29" s="570" t="s">
        <v>497</v>
      </c>
      <c r="D29" s="570" t="s">
        <v>88</v>
      </c>
      <c r="E29" s="570" t="s">
        <v>435</v>
      </c>
      <c r="F29" s="547"/>
      <c r="G29"/>
      <c r="H29" s="547"/>
      <c r="J29"/>
    </row>
    <row r="30" spans="2:10" ht="12.75" customHeight="1" x14ac:dyDescent="0.25">
      <c r="B30" s="571">
        <v>45505</v>
      </c>
      <c r="C30" s="572">
        <v>0</v>
      </c>
      <c r="D30" s="573">
        <f>C30*0.16</f>
        <v>0</v>
      </c>
      <c r="E30" s="573">
        <f>C30+D30</f>
        <v>0</v>
      </c>
      <c r="F30" s="569"/>
      <c r="G30"/>
      <c r="J30"/>
    </row>
    <row r="31" spans="2:10" ht="12.75" customHeight="1" x14ac:dyDescent="0.25">
      <c r="B31" s="547"/>
      <c r="C31" s="547"/>
      <c r="D31" s="547"/>
      <c r="E31" s="547"/>
      <c r="G31"/>
      <c r="J31"/>
    </row>
    <row r="32" spans="2:10" x14ac:dyDescent="0.25">
      <c r="B32" s="562" t="s">
        <v>499</v>
      </c>
      <c r="C32" s="547"/>
      <c r="D32" s="547"/>
      <c r="E32" s="573">
        <f>F16+E20+E24+E25+E26+E30</f>
        <v>36331.99153755045</v>
      </c>
      <c r="G32"/>
      <c r="J32"/>
    </row>
    <row r="33" spans="2:7" ht="3.75" customHeight="1" x14ac:dyDescent="0.2">
      <c r="B33" s="547"/>
      <c r="C33" s="547"/>
      <c r="D33" s="547"/>
      <c r="E33" s="547"/>
      <c r="F33" s="547"/>
    </row>
    <row r="34" spans="2:7" ht="15" customHeight="1" x14ac:dyDescent="0.2">
      <c r="B34" s="562" t="s">
        <v>509</v>
      </c>
      <c r="E34" s="561">
        <f>E32*1.16</f>
        <v>42145.110183558521</v>
      </c>
      <c r="G34" s="549"/>
    </row>
  </sheetData>
  <mergeCells count="7">
    <mergeCell ref="A2:J2"/>
    <mergeCell ref="B4:C4"/>
    <mergeCell ref="D24:D26"/>
    <mergeCell ref="B6:F6"/>
    <mergeCell ref="H9:I9"/>
    <mergeCell ref="H15:I15"/>
    <mergeCell ref="H5:J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 fitToPage="1"/>
  </sheetPr>
  <dimension ref="A1:K98"/>
  <sheetViews>
    <sheetView showGridLines="0" view="pageBreakPreview" topLeftCell="A69" zoomScaleNormal="100" zoomScaleSheetLayoutView="100" workbookViewId="0">
      <selection activeCell="B83" sqref="B83"/>
    </sheetView>
  </sheetViews>
  <sheetFormatPr baseColWidth="10" defaultRowHeight="12" x14ac:dyDescent="0.2"/>
  <cols>
    <col min="1" max="1" width="3.42578125" style="688" customWidth="1"/>
    <col min="2" max="2" width="20.28515625" style="688" bestFit="1" customWidth="1"/>
    <col min="3" max="3" width="20.7109375" style="688" customWidth="1"/>
    <col min="4" max="4" width="36.85546875" style="688" bestFit="1" customWidth="1"/>
    <col min="5" max="5" width="39" style="688" bestFit="1" customWidth="1"/>
    <col min="6" max="6" width="13.42578125" style="688" bestFit="1" customWidth="1"/>
    <col min="7" max="7" width="14.42578125" style="688" bestFit="1" customWidth="1"/>
    <col min="8" max="8" width="9.42578125" style="688" customWidth="1"/>
    <col min="9" max="9" width="4.42578125" style="688" customWidth="1"/>
    <col min="10" max="10" width="3.7109375" style="688" bestFit="1" customWidth="1"/>
    <col min="11" max="246" width="11.42578125" style="688"/>
    <col min="247" max="247" width="8" style="688" customWidth="1"/>
    <col min="248" max="248" width="12.28515625" style="688" customWidth="1"/>
    <col min="249" max="259" width="9.28515625" style="688" customWidth="1"/>
    <col min="260" max="262" width="0" style="688" hidden="1" customWidth="1"/>
    <col min="263" max="263" width="12.5703125" style="688" customWidth="1"/>
    <col min="264" max="265" width="13.140625" style="688" bestFit="1" customWidth="1"/>
    <col min="266" max="266" width="20.42578125" style="688" bestFit="1" customWidth="1"/>
    <col min="267" max="502" width="11.42578125" style="688"/>
    <col min="503" max="503" width="8" style="688" customWidth="1"/>
    <col min="504" max="504" width="12.28515625" style="688" customWidth="1"/>
    <col min="505" max="515" width="9.28515625" style="688" customWidth="1"/>
    <col min="516" max="518" width="0" style="688" hidden="1" customWidth="1"/>
    <col min="519" max="519" width="12.5703125" style="688" customWidth="1"/>
    <col min="520" max="521" width="13.140625" style="688" bestFit="1" customWidth="1"/>
    <col min="522" max="522" width="20.42578125" style="688" bestFit="1" customWidth="1"/>
    <col min="523" max="758" width="11.42578125" style="688"/>
    <col min="759" max="759" width="8" style="688" customWidth="1"/>
    <col min="760" max="760" width="12.28515625" style="688" customWidth="1"/>
    <col min="761" max="771" width="9.28515625" style="688" customWidth="1"/>
    <col min="772" max="774" width="0" style="688" hidden="1" customWidth="1"/>
    <col min="775" max="775" width="12.5703125" style="688" customWidth="1"/>
    <col min="776" max="777" width="13.140625" style="688" bestFit="1" customWidth="1"/>
    <col min="778" max="778" width="20.42578125" style="688" bestFit="1" customWidth="1"/>
    <col min="779" max="1014" width="11.42578125" style="688"/>
    <col min="1015" max="1015" width="8" style="688" customWidth="1"/>
    <col min="1016" max="1016" width="12.28515625" style="688" customWidth="1"/>
    <col min="1017" max="1027" width="9.28515625" style="688" customWidth="1"/>
    <col min="1028" max="1030" width="0" style="688" hidden="1" customWidth="1"/>
    <col min="1031" max="1031" width="12.5703125" style="688" customWidth="1"/>
    <col min="1032" max="1033" width="13.140625" style="688" bestFit="1" customWidth="1"/>
    <col min="1034" max="1034" width="20.42578125" style="688" bestFit="1" customWidth="1"/>
    <col min="1035" max="1270" width="11.42578125" style="688"/>
    <col min="1271" max="1271" width="8" style="688" customWidth="1"/>
    <col min="1272" max="1272" width="12.28515625" style="688" customWidth="1"/>
    <col min="1273" max="1283" width="9.28515625" style="688" customWidth="1"/>
    <col min="1284" max="1286" width="0" style="688" hidden="1" customWidth="1"/>
    <col min="1287" max="1287" width="12.5703125" style="688" customWidth="1"/>
    <col min="1288" max="1289" width="13.140625" style="688" bestFit="1" customWidth="1"/>
    <col min="1290" max="1290" width="20.42578125" style="688" bestFit="1" customWidth="1"/>
    <col min="1291" max="1526" width="11.42578125" style="688"/>
    <col min="1527" max="1527" width="8" style="688" customWidth="1"/>
    <col min="1528" max="1528" width="12.28515625" style="688" customWidth="1"/>
    <col min="1529" max="1539" width="9.28515625" style="688" customWidth="1"/>
    <col min="1540" max="1542" width="0" style="688" hidden="1" customWidth="1"/>
    <col min="1543" max="1543" width="12.5703125" style="688" customWidth="1"/>
    <col min="1544" max="1545" width="13.140625" style="688" bestFit="1" customWidth="1"/>
    <col min="1546" max="1546" width="20.42578125" style="688" bestFit="1" customWidth="1"/>
    <col min="1547" max="1782" width="11.42578125" style="688"/>
    <col min="1783" max="1783" width="8" style="688" customWidth="1"/>
    <col min="1784" max="1784" width="12.28515625" style="688" customWidth="1"/>
    <col min="1785" max="1795" width="9.28515625" style="688" customWidth="1"/>
    <col min="1796" max="1798" width="0" style="688" hidden="1" customWidth="1"/>
    <col min="1799" max="1799" width="12.5703125" style="688" customWidth="1"/>
    <col min="1800" max="1801" width="13.140625" style="688" bestFit="1" customWidth="1"/>
    <col min="1802" max="1802" width="20.42578125" style="688" bestFit="1" customWidth="1"/>
    <col min="1803" max="2038" width="11.42578125" style="688"/>
    <col min="2039" max="2039" width="8" style="688" customWidth="1"/>
    <col min="2040" max="2040" width="12.28515625" style="688" customWidth="1"/>
    <col min="2041" max="2051" width="9.28515625" style="688" customWidth="1"/>
    <col min="2052" max="2054" width="0" style="688" hidden="1" customWidth="1"/>
    <col min="2055" max="2055" width="12.5703125" style="688" customWidth="1"/>
    <col min="2056" max="2057" width="13.140625" style="688" bestFit="1" customWidth="1"/>
    <col min="2058" max="2058" width="20.42578125" style="688" bestFit="1" customWidth="1"/>
    <col min="2059" max="2294" width="11.42578125" style="688"/>
    <col min="2295" max="2295" width="8" style="688" customWidth="1"/>
    <col min="2296" max="2296" width="12.28515625" style="688" customWidth="1"/>
    <col min="2297" max="2307" width="9.28515625" style="688" customWidth="1"/>
    <col min="2308" max="2310" width="0" style="688" hidden="1" customWidth="1"/>
    <col min="2311" max="2311" width="12.5703125" style="688" customWidth="1"/>
    <col min="2312" max="2313" width="13.140625" style="688" bestFit="1" customWidth="1"/>
    <col min="2314" max="2314" width="20.42578125" style="688" bestFit="1" customWidth="1"/>
    <col min="2315" max="2550" width="11.42578125" style="688"/>
    <col min="2551" max="2551" width="8" style="688" customWidth="1"/>
    <col min="2552" max="2552" width="12.28515625" style="688" customWidth="1"/>
    <col min="2553" max="2563" width="9.28515625" style="688" customWidth="1"/>
    <col min="2564" max="2566" width="0" style="688" hidden="1" customWidth="1"/>
    <col min="2567" max="2567" width="12.5703125" style="688" customWidth="1"/>
    <col min="2568" max="2569" width="13.140625" style="688" bestFit="1" customWidth="1"/>
    <col min="2570" max="2570" width="20.42578125" style="688" bestFit="1" customWidth="1"/>
    <col min="2571" max="2806" width="11.42578125" style="688"/>
    <col min="2807" max="2807" width="8" style="688" customWidth="1"/>
    <col min="2808" max="2808" width="12.28515625" style="688" customWidth="1"/>
    <col min="2809" max="2819" width="9.28515625" style="688" customWidth="1"/>
    <col min="2820" max="2822" width="0" style="688" hidden="1" customWidth="1"/>
    <col min="2823" max="2823" width="12.5703125" style="688" customWidth="1"/>
    <col min="2824" max="2825" width="13.140625" style="688" bestFit="1" customWidth="1"/>
    <col min="2826" max="2826" width="20.42578125" style="688" bestFit="1" customWidth="1"/>
    <col min="2827" max="3062" width="11.42578125" style="688"/>
    <col min="3063" max="3063" width="8" style="688" customWidth="1"/>
    <col min="3064" max="3064" width="12.28515625" style="688" customWidth="1"/>
    <col min="3065" max="3075" width="9.28515625" style="688" customWidth="1"/>
    <col min="3076" max="3078" width="0" style="688" hidden="1" customWidth="1"/>
    <col min="3079" max="3079" width="12.5703125" style="688" customWidth="1"/>
    <col min="3080" max="3081" width="13.140625" style="688" bestFit="1" customWidth="1"/>
    <col min="3082" max="3082" width="20.42578125" style="688" bestFit="1" customWidth="1"/>
    <col min="3083" max="3318" width="11.42578125" style="688"/>
    <col min="3319" max="3319" width="8" style="688" customWidth="1"/>
    <col min="3320" max="3320" width="12.28515625" style="688" customWidth="1"/>
    <col min="3321" max="3331" width="9.28515625" style="688" customWidth="1"/>
    <col min="3332" max="3334" width="0" style="688" hidden="1" customWidth="1"/>
    <col min="3335" max="3335" width="12.5703125" style="688" customWidth="1"/>
    <col min="3336" max="3337" width="13.140625" style="688" bestFit="1" customWidth="1"/>
    <col min="3338" max="3338" width="20.42578125" style="688" bestFit="1" customWidth="1"/>
    <col min="3339" max="3574" width="11.42578125" style="688"/>
    <col min="3575" max="3575" width="8" style="688" customWidth="1"/>
    <col min="3576" max="3576" width="12.28515625" style="688" customWidth="1"/>
    <col min="3577" max="3587" width="9.28515625" style="688" customWidth="1"/>
    <col min="3588" max="3590" width="0" style="688" hidden="1" customWidth="1"/>
    <col min="3591" max="3591" width="12.5703125" style="688" customWidth="1"/>
    <col min="3592" max="3593" width="13.140625" style="688" bestFit="1" customWidth="1"/>
    <col min="3594" max="3594" width="20.42578125" style="688" bestFit="1" customWidth="1"/>
    <col min="3595" max="3830" width="11.42578125" style="688"/>
    <col min="3831" max="3831" width="8" style="688" customWidth="1"/>
    <col min="3832" max="3832" width="12.28515625" style="688" customWidth="1"/>
    <col min="3833" max="3843" width="9.28515625" style="688" customWidth="1"/>
    <col min="3844" max="3846" width="0" style="688" hidden="1" customWidth="1"/>
    <col min="3847" max="3847" width="12.5703125" style="688" customWidth="1"/>
    <col min="3848" max="3849" width="13.140625" style="688" bestFit="1" customWidth="1"/>
    <col min="3850" max="3850" width="20.42578125" style="688" bestFit="1" customWidth="1"/>
    <col min="3851" max="4086" width="11.42578125" style="688"/>
    <col min="4087" max="4087" width="8" style="688" customWidth="1"/>
    <col min="4088" max="4088" width="12.28515625" style="688" customWidth="1"/>
    <col min="4089" max="4099" width="9.28515625" style="688" customWidth="1"/>
    <col min="4100" max="4102" width="0" style="688" hidden="1" customWidth="1"/>
    <col min="4103" max="4103" width="12.5703125" style="688" customWidth="1"/>
    <col min="4104" max="4105" width="13.140625" style="688" bestFit="1" customWidth="1"/>
    <col min="4106" max="4106" width="20.42578125" style="688" bestFit="1" customWidth="1"/>
    <col min="4107" max="4342" width="11.42578125" style="688"/>
    <col min="4343" max="4343" width="8" style="688" customWidth="1"/>
    <col min="4344" max="4344" width="12.28515625" style="688" customWidth="1"/>
    <col min="4345" max="4355" width="9.28515625" style="688" customWidth="1"/>
    <col min="4356" max="4358" width="0" style="688" hidden="1" customWidth="1"/>
    <col min="4359" max="4359" width="12.5703125" style="688" customWidth="1"/>
    <col min="4360" max="4361" width="13.140625" style="688" bestFit="1" customWidth="1"/>
    <col min="4362" max="4362" width="20.42578125" style="688" bestFit="1" customWidth="1"/>
    <col min="4363" max="4598" width="11.42578125" style="688"/>
    <col min="4599" max="4599" width="8" style="688" customWidth="1"/>
    <col min="4600" max="4600" width="12.28515625" style="688" customWidth="1"/>
    <col min="4601" max="4611" width="9.28515625" style="688" customWidth="1"/>
    <col min="4612" max="4614" width="0" style="688" hidden="1" customWidth="1"/>
    <col min="4615" max="4615" width="12.5703125" style="688" customWidth="1"/>
    <col min="4616" max="4617" width="13.140625" style="688" bestFit="1" customWidth="1"/>
    <col min="4618" max="4618" width="20.42578125" style="688" bestFit="1" customWidth="1"/>
    <col min="4619" max="4854" width="11.42578125" style="688"/>
    <col min="4855" max="4855" width="8" style="688" customWidth="1"/>
    <col min="4856" max="4856" width="12.28515625" style="688" customWidth="1"/>
    <col min="4857" max="4867" width="9.28515625" style="688" customWidth="1"/>
    <col min="4868" max="4870" width="0" style="688" hidden="1" customWidth="1"/>
    <col min="4871" max="4871" width="12.5703125" style="688" customWidth="1"/>
    <col min="4872" max="4873" width="13.140625" style="688" bestFit="1" customWidth="1"/>
    <col min="4874" max="4874" width="20.42578125" style="688" bestFit="1" customWidth="1"/>
    <col min="4875" max="5110" width="11.42578125" style="688"/>
    <col min="5111" max="5111" width="8" style="688" customWidth="1"/>
    <col min="5112" max="5112" width="12.28515625" style="688" customWidth="1"/>
    <col min="5113" max="5123" width="9.28515625" style="688" customWidth="1"/>
    <col min="5124" max="5126" width="0" style="688" hidden="1" customWidth="1"/>
    <col min="5127" max="5127" width="12.5703125" style="688" customWidth="1"/>
    <col min="5128" max="5129" width="13.140625" style="688" bestFit="1" customWidth="1"/>
    <col min="5130" max="5130" width="20.42578125" style="688" bestFit="1" customWidth="1"/>
    <col min="5131" max="5366" width="11.42578125" style="688"/>
    <col min="5367" max="5367" width="8" style="688" customWidth="1"/>
    <col min="5368" max="5368" width="12.28515625" style="688" customWidth="1"/>
    <col min="5369" max="5379" width="9.28515625" style="688" customWidth="1"/>
    <col min="5380" max="5382" width="0" style="688" hidden="1" customWidth="1"/>
    <col min="5383" max="5383" width="12.5703125" style="688" customWidth="1"/>
    <col min="5384" max="5385" width="13.140625" style="688" bestFit="1" customWidth="1"/>
    <col min="5386" max="5386" width="20.42578125" style="688" bestFit="1" customWidth="1"/>
    <col min="5387" max="5622" width="11.42578125" style="688"/>
    <col min="5623" max="5623" width="8" style="688" customWidth="1"/>
    <col min="5624" max="5624" width="12.28515625" style="688" customWidth="1"/>
    <col min="5625" max="5635" width="9.28515625" style="688" customWidth="1"/>
    <col min="5636" max="5638" width="0" style="688" hidden="1" customWidth="1"/>
    <col min="5639" max="5639" width="12.5703125" style="688" customWidth="1"/>
    <col min="5640" max="5641" width="13.140625" style="688" bestFit="1" customWidth="1"/>
    <col min="5642" max="5642" width="20.42578125" style="688" bestFit="1" customWidth="1"/>
    <col min="5643" max="5878" width="11.42578125" style="688"/>
    <col min="5879" max="5879" width="8" style="688" customWidth="1"/>
    <col min="5880" max="5880" width="12.28515625" style="688" customWidth="1"/>
    <col min="5881" max="5891" width="9.28515625" style="688" customWidth="1"/>
    <col min="5892" max="5894" width="0" style="688" hidden="1" customWidth="1"/>
    <col min="5895" max="5895" width="12.5703125" style="688" customWidth="1"/>
    <col min="5896" max="5897" width="13.140625" style="688" bestFit="1" customWidth="1"/>
    <col min="5898" max="5898" width="20.42578125" style="688" bestFit="1" customWidth="1"/>
    <col min="5899" max="6134" width="11.42578125" style="688"/>
    <col min="6135" max="6135" width="8" style="688" customWidth="1"/>
    <col min="6136" max="6136" width="12.28515625" style="688" customWidth="1"/>
    <col min="6137" max="6147" width="9.28515625" style="688" customWidth="1"/>
    <col min="6148" max="6150" width="0" style="688" hidden="1" customWidth="1"/>
    <col min="6151" max="6151" width="12.5703125" style="688" customWidth="1"/>
    <col min="6152" max="6153" width="13.140625" style="688" bestFit="1" customWidth="1"/>
    <col min="6154" max="6154" width="20.42578125" style="688" bestFit="1" customWidth="1"/>
    <col min="6155" max="6390" width="11.42578125" style="688"/>
    <col min="6391" max="6391" width="8" style="688" customWidth="1"/>
    <col min="6392" max="6392" width="12.28515625" style="688" customWidth="1"/>
    <col min="6393" max="6403" width="9.28515625" style="688" customWidth="1"/>
    <col min="6404" max="6406" width="0" style="688" hidden="1" customWidth="1"/>
    <col min="6407" max="6407" width="12.5703125" style="688" customWidth="1"/>
    <col min="6408" max="6409" width="13.140625" style="688" bestFit="1" customWidth="1"/>
    <col min="6410" max="6410" width="20.42578125" style="688" bestFit="1" customWidth="1"/>
    <col min="6411" max="6646" width="11.42578125" style="688"/>
    <col min="6647" max="6647" width="8" style="688" customWidth="1"/>
    <col min="6648" max="6648" width="12.28515625" style="688" customWidth="1"/>
    <col min="6649" max="6659" width="9.28515625" style="688" customWidth="1"/>
    <col min="6660" max="6662" width="0" style="688" hidden="1" customWidth="1"/>
    <col min="6663" max="6663" width="12.5703125" style="688" customWidth="1"/>
    <col min="6664" max="6665" width="13.140625" style="688" bestFit="1" customWidth="1"/>
    <col min="6666" max="6666" width="20.42578125" style="688" bestFit="1" customWidth="1"/>
    <col min="6667" max="6902" width="11.42578125" style="688"/>
    <col min="6903" max="6903" width="8" style="688" customWidth="1"/>
    <col min="6904" max="6904" width="12.28515625" style="688" customWidth="1"/>
    <col min="6905" max="6915" width="9.28515625" style="688" customWidth="1"/>
    <col min="6916" max="6918" width="0" style="688" hidden="1" customWidth="1"/>
    <col min="6919" max="6919" width="12.5703125" style="688" customWidth="1"/>
    <col min="6920" max="6921" width="13.140625" style="688" bestFit="1" customWidth="1"/>
    <col min="6922" max="6922" width="20.42578125" style="688" bestFit="1" customWidth="1"/>
    <col min="6923" max="7158" width="11.42578125" style="688"/>
    <col min="7159" max="7159" width="8" style="688" customWidth="1"/>
    <col min="7160" max="7160" width="12.28515625" style="688" customWidth="1"/>
    <col min="7161" max="7171" width="9.28515625" style="688" customWidth="1"/>
    <col min="7172" max="7174" width="0" style="688" hidden="1" customWidth="1"/>
    <col min="7175" max="7175" width="12.5703125" style="688" customWidth="1"/>
    <col min="7176" max="7177" width="13.140625" style="688" bestFit="1" customWidth="1"/>
    <col min="7178" max="7178" width="20.42578125" style="688" bestFit="1" customWidth="1"/>
    <col min="7179" max="7414" width="11.42578125" style="688"/>
    <col min="7415" max="7415" width="8" style="688" customWidth="1"/>
    <col min="7416" max="7416" width="12.28515625" style="688" customWidth="1"/>
    <col min="7417" max="7427" width="9.28515625" style="688" customWidth="1"/>
    <col min="7428" max="7430" width="0" style="688" hidden="1" customWidth="1"/>
    <col min="7431" max="7431" width="12.5703125" style="688" customWidth="1"/>
    <col min="7432" max="7433" width="13.140625" style="688" bestFit="1" customWidth="1"/>
    <col min="7434" max="7434" width="20.42578125" style="688" bestFit="1" customWidth="1"/>
    <col min="7435" max="7670" width="11.42578125" style="688"/>
    <col min="7671" max="7671" width="8" style="688" customWidth="1"/>
    <col min="7672" max="7672" width="12.28515625" style="688" customWidth="1"/>
    <col min="7673" max="7683" width="9.28515625" style="688" customWidth="1"/>
    <col min="7684" max="7686" width="0" style="688" hidden="1" customWidth="1"/>
    <col min="7687" max="7687" width="12.5703125" style="688" customWidth="1"/>
    <col min="7688" max="7689" width="13.140625" style="688" bestFit="1" customWidth="1"/>
    <col min="7690" max="7690" width="20.42578125" style="688" bestFit="1" customWidth="1"/>
    <col min="7691" max="7926" width="11.42578125" style="688"/>
    <col min="7927" max="7927" width="8" style="688" customWidth="1"/>
    <col min="7928" max="7928" width="12.28515625" style="688" customWidth="1"/>
    <col min="7929" max="7939" width="9.28515625" style="688" customWidth="1"/>
    <col min="7940" max="7942" width="0" style="688" hidden="1" customWidth="1"/>
    <col min="7943" max="7943" width="12.5703125" style="688" customWidth="1"/>
    <col min="7944" max="7945" width="13.140625" style="688" bestFit="1" customWidth="1"/>
    <col min="7946" max="7946" width="20.42578125" style="688" bestFit="1" customWidth="1"/>
    <col min="7947" max="8182" width="11.42578125" style="688"/>
    <col min="8183" max="8183" width="8" style="688" customWidth="1"/>
    <col min="8184" max="8184" width="12.28515625" style="688" customWidth="1"/>
    <col min="8185" max="8195" width="9.28515625" style="688" customWidth="1"/>
    <col min="8196" max="8198" width="0" style="688" hidden="1" customWidth="1"/>
    <col min="8199" max="8199" width="12.5703125" style="688" customWidth="1"/>
    <col min="8200" max="8201" width="13.140625" style="688" bestFit="1" customWidth="1"/>
    <col min="8202" max="8202" width="20.42578125" style="688" bestFit="1" customWidth="1"/>
    <col min="8203" max="8438" width="11.42578125" style="688"/>
    <col min="8439" max="8439" width="8" style="688" customWidth="1"/>
    <col min="8440" max="8440" width="12.28515625" style="688" customWidth="1"/>
    <col min="8441" max="8451" width="9.28515625" style="688" customWidth="1"/>
    <col min="8452" max="8454" width="0" style="688" hidden="1" customWidth="1"/>
    <col min="8455" max="8455" width="12.5703125" style="688" customWidth="1"/>
    <col min="8456" max="8457" width="13.140625" style="688" bestFit="1" customWidth="1"/>
    <col min="8458" max="8458" width="20.42578125" style="688" bestFit="1" customWidth="1"/>
    <col min="8459" max="8694" width="11.42578125" style="688"/>
    <col min="8695" max="8695" width="8" style="688" customWidth="1"/>
    <col min="8696" max="8696" width="12.28515625" style="688" customWidth="1"/>
    <col min="8697" max="8707" width="9.28515625" style="688" customWidth="1"/>
    <col min="8708" max="8710" width="0" style="688" hidden="1" customWidth="1"/>
    <col min="8711" max="8711" width="12.5703125" style="688" customWidth="1"/>
    <col min="8712" max="8713" width="13.140625" style="688" bestFit="1" customWidth="1"/>
    <col min="8714" max="8714" width="20.42578125" style="688" bestFit="1" customWidth="1"/>
    <col min="8715" max="8950" width="11.42578125" style="688"/>
    <col min="8951" max="8951" width="8" style="688" customWidth="1"/>
    <col min="8952" max="8952" width="12.28515625" style="688" customWidth="1"/>
    <col min="8953" max="8963" width="9.28515625" style="688" customWidth="1"/>
    <col min="8964" max="8966" width="0" style="688" hidden="1" customWidth="1"/>
    <col min="8967" max="8967" width="12.5703125" style="688" customWidth="1"/>
    <col min="8968" max="8969" width="13.140625" style="688" bestFit="1" customWidth="1"/>
    <col min="8970" max="8970" width="20.42578125" style="688" bestFit="1" customWidth="1"/>
    <col min="8971" max="9206" width="11.42578125" style="688"/>
    <col min="9207" max="9207" width="8" style="688" customWidth="1"/>
    <col min="9208" max="9208" width="12.28515625" style="688" customWidth="1"/>
    <col min="9209" max="9219" width="9.28515625" style="688" customWidth="1"/>
    <col min="9220" max="9222" width="0" style="688" hidden="1" customWidth="1"/>
    <col min="9223" max="9223" width="12.5703125" style="688" customWidth="1"/>
    <col min="9224" max="9225" width="13.140625" style="688" bestFit="1" customWidth="1"/>
    <col min="9226" max="9226" width="20.42578125" style="688" bestFit="1" customWidth="1"/>
    <col min="9227" max="9462" width="11.42578125" style="688"/>
    <col min="9463" max="9463" width="8" style="688" customWidth="1"/>
    <col min="9464" max="9464" width="12.28515625" style="688" customWidth="1"/>
    <col min="9465" max="9475" width="9.28515625" style="688" customWidth="1"/>
    <col min="9476" max="9478" width="0" style="688" hidden="1" customWidth="1"/>
    <col min="9479" max="9479" width="12.5703125" style="688" customWidth="1"/>
    <col min="9480" max="9481" width="13.140625" style="688" bestFit="1" customWidth="1"/>
    <col min="9482" max="9482" width="20.42578125" style="688" bestFit="1" customWidth="1"/>
    <col min="9483" max="9718" width="11.42578125" style="688"/>
    <col min="9719" max="9719" width="8" style="688" customWidth="1"/>
    <col min="9720" max="9720" width="12.28515625" style="688" customWidth="1"/>
    <col min="9721" max="9731" width="9.28515625" style="688" customWidth="1"/>
    <col min="9732" max="9734" width="0" style="688" hidden="1" customWidth="1"/>
    <col min="9735" max="9735" width="12.5703125" style="688" customWidth="1"/>
    <col min="9736" max="9737" width="13.140625" style="688" bestFit="1" customWidth="1"/>
    <col min="9738" max="9738" width="20.42578125" style="688" bestFit="1" customWidth="1"/>
    <col min="9739" max="9974" width="11.42578125" style="688"/>
    <col min="9975" max="9975" width="8" style="688" customWidth="1"/>
    <col min="9976" max="9976" width="12.28515625" style="688" customWidth="1"/>
    <col min="9977" max="9987" width="9.28515625" style="688" customWidth="1"/>
    <col min="9988" max="9990" width="0" style="688" hidden="1" customWidth="1"/>
    <col min="9991" max="9991" width="12.5703125" style="688" customWidth="1"/>
    <col min="9992" max="9993" width="13.140625" style="688" bestFit="1" customWidth="1"/>
    <col min="9994" max="9994" width="20.42578125" style="688" bestFit="1" customWidth="1"/>
    <col min="9995" max="10230" width="11.42578125" style="688"/>
    <col min="10231" max="10231" width="8" style="688" customWidth="1"/>
    <col min="10232" max="10232" width="12.28515625" style="688" customWidth="1"/>
    <col min="10233" max="10243" width="9.28515625" style="688" customWidth="1"/>
    <col min="10244" max="10246" width="0" style="688" hidden="1" customWidth="1"/>
    <col min="10247" max="10247" width="12.5703125" style="688" customWidth="1"/>
    <col min="10248" max="10249" width="13.140625" style="688" bestFit="1" customWidth="1"/>
    <col min="10250" max="10250" width="20.42578125" style="688" bestFit="1" customWidth="1"/>
    <col min="10251" max="10486" width="11.42578125" style="688"/>
    <col min="10487" max="10487" width="8" style="688" customWidth="1"/>
    <col min="10488" max="10488" width="12.28515625" style="688" customWidth="1"/>
    <col min="10489" max="10499" width="9.28515625" style="688" customWidth="1"/>
    <col min="10500" max="10502" width="0" style="688" hidden="1" customWidth="1"/>
    <col min="10503" max="10503" width="12.5703125" style="688" customWidth="1"/>
    <col min="10504" max="10505" width="13.140625" style="688" bestFit="1" customWidth="1"/>
    <col min="10506" max="10506" width="20.42578125" style="688" bestFit="1" customWidth="1"/>
    <col min="10507" max="10742" width="11.42578125" style="688"/>
    <col min="10743" max="10743" width="8" style="688" customWidth="1"/>
    <col min="10744" max="10744" width="12.28515625" style="688" customWidth="1"/>
    <col min="10745" max="10755" width="9.28515625" style="688" customWidth="1"/>
    <col min="10756" max="10758" width="0" style="688" hidden="1" customWidth="1"/>
    <col min="10759" max="10759" width="12.5703125" style="688" customWidth="1"/>
    <col min="10760" max="10761" width="13.140625" style="688" bestFit="1" customWidth="1"/>
    <col min="10762" max="10762" width="20.42578125" style="688" bestFit="1" customWidth="1"/>
    <col min="10763" max="10998" width="11.42578125" style="688"/>
    <col min="10999" max="10999" width="8" style="688" customWidth="1"/>
    <col min="11000" max="11000" width="12.28515625" style="688" customWidth="1"/>
    <col min="11001" max="11011" width="9.28515625" style="688" customWidth="1"/>
    <col min="11012" max="11014" width="0" style="688" hidden="1" customWidth="1"/>
    <col min="11015" max="11015" width="12.5703125" style="688" customWidth="1"/>
    <col min="11016" max="11017" width="13.140625" style="688" bestFit="1" customWidth="1"/>
    <col min="11018" max="11018" width="20.42578125" style="688" bestFit="1" customWidth="1"/>
    <col min="11019" max="11254" width="11.42578125" style="688"/>
    <col min="11255" max="11255" width="8" style="688" customWidth="1"/>
    <col min="11256" max="11256" width="12.28515625" style="688" customWidth="1"/>
    <col min="11257" max="11267" width="9.28515625" style="688" customWidth="1"/>
    <col min="11268" max="11270" width="0" style="688" hidden="1" customWidth="1"/>
    <col min="11271" max="11271" width="12.5703125" style="688" customWidth="1"/>
    <col min="11272" max="11273" width="13.140625" style="688" bestFit="1" customWidth="1"/>
    <col min="11274" max="11274" width="20.42578125" style="688" bestFit="1" customWidth="1"/>
    <col min="11275" max="11510" width="11.42578125" style="688"/>
    <col min="11511" max="11511" width="8" style="688" customWidth="1"/>
    <col min="11512" max="11512" width="12.28515625" style="688" customWidth="1"/>
    <col min="11513" max="11523" width="9.28515625" style="688" customWidth="1"/>
    <col min="11524" max="11526" width="0" style="688" hidden="1" customWidth="1"/>
    <col min="11527" max="11527" width="12.5703125" style="688" customWidth="1"/>
    <col min="11528" max="11529" width="13.140625" style="688" bestFit="1" customWidth="1"/>
    <col min="11530" max="11530" width="20.42578125" style="688" bestFit="1" customWidth="1"/>
    <col min="11531" max="11766" width="11.42578125" style="688"/>
    <col min="11767" max="11767" width="8" style="688" customWidth="1"/>
    <col min="11768" max="11768" width="12.28515625" style="688" customWidth="1"/>
    <col min="11769" max="11779" width="9.28515625" style="688" customWidth="1"/>
    <col min="11780" max="11782" width="0" style="688" hidden="1" customWidth="1"/>
    <col min="11783" max="11783" width="12.5703125" style="688" customWidth="1"/>
    <col min="11784" max="11785" width="13.140625" style="688" bestFit="1" customWidth="1"/>
    <col min="11786" max="11786" width="20.42578125" style="688" bestFit="1" customWidth="1"/>
    <col min="11787" max="12022" width="11.42578125" style="688"/>
    <col min="12023" max="12023" width="8" style="688" customWidth="1"/>
    <col min="12024" max="12024" width="12.28515625" style="688" customWidth="1"/>
    <col min="12025" max="12035" width="9.28515625" style="688" customWidth="1"/>
    <col min="12036" max="12038" width="0" style="688" hidden="1" customWidth="1"/>
    <col min="12039" max="12039" width="12.5703125" style="688" customWidth="1"/>
    <col min="12040" max="12041" width="13.140625" style="688" bestFit="1" customWidth="1"/>
    <col min="12042" max="12042" width="20.42578125" style="688" bestFit="1" customWidth="1"/>
    <col min="12043" max="12278" width="11.42578125" style="688"/>
    <col min="12279" max="12279" width="8" style="688" customWidth="1"/>
    <col min="12280" max="12280" width="12.28515625" style="688" customWidth="1"/>
    <col min="12281" max="12291" width="9.28515625" style="688" customWidth="1"/>
    <col min="12292" max="12294" width="0" style="688" hidden="1" customWidth="1"/>
    <col min="12295" max="12295" width="12.5703125" style="688" customWidth="1"/>
    <col min="12296" max="12297" width="13.140625" style="688" bestFit="1" customWidth="1"/>
    <col min="12298" max="12298" width="20.42578125" style="688" bestFit="1" customWidth="1"/>
    <col min="12299" max="12534" width="11.42578125" style="688"/>
    <col min="12535" max="12535" width="8" style="688" customWidth="1"/>
    <col min="12536" max="12536" width="12.28515625" style="688" customWidth="1"/>
    <col min="12537" max="12547" width="9.28515625" style="688" customWidth="1"/>
    <col min="12548" max="12550" width="0" style="688" hidden="1" customWidth="1"/>
    <col min="12551" max="12551" width="12.5703125" style="688" customWidth="1"/>
    <col min="12552" max="12553" width="13.140625" style="688" bestFit="1" customWidth="1"/>
    <col min="12554" max="12554" width="20.42578125" style="688" bestFit="1" customWidth="1"/>
    <col min="12555" max="12790" width="11.42578125" style="688"/>
    <col min="12791" max="12791" width="8" style="688" customWidth="1"/>
    <col min="12792" max="12792" width="12.28515625" style="688" customWidth="1"/>
    <col min="12793" max="12803" width="9.28515625" style="688" customWidth="1"/>
    <col min="12804" max="12806" width="0" style="688" hidden="1" customWidth="1"/>
    <col min="12807" max="12807" width="12.5703125" style="688" customWidth="1"/>
    <col min="12808" max="12809" width="13.140625" style="688" bestFit="1" customWidth="1"/>
    <col min="12810" max="12810" width="20.42578125" style="688" bestFit="1" customWidth="1"/>
    <col min="12811" max="13046" width="11.42578125" style="688"/>
    <col min="13047" max="13047" width="8" style="688" customWidth="1"/>
    <col min="13048" max="13048" width="12.28515625" style="688" customWidth="1"/>
    <col min="13049" max="13059" width="9.28515625" style="688" customWidth="1"/>
    <col min="13060" max="13062" width="0" style="688" hidden="1" customWidth="1"/>
    <col min="13063" max="13063" width="12.5703125" style="688" customWidth="1"/>
    <col min="13064" max="13065" width="13.140625" style="688" bestFit="1" customWidth="1"/>
    <col min="13066" max="13066" width="20.42578125" style="688" bestFit="1" customWidth="1"/>
    <col min="13067" max="13302" width="11.42578125" style="688"/>
    <col min="13303" max="13303" width="8" style="688" customWidth="1"/>
    <col min="13304" max="13304" width="12.28515625" style="688" customWidth="1"/>
    <col min="13305" max="13315" width="9.28515625" style="688" customWidth="1"/>
    <col min="13316" max="13318" width="0" style="688" hidden="1" customWidth="1"/>
    <col min="13319" max="13319" width="12.5703125" style="688" customWidth="1"/>
    <col min="13320" max="13321" width="13.140625" style="688" bestFit="1" customWidth="1"/>
    <col min="13322" max="13322" width="20.42578125" style="688" bestFit="1" customWidth="1"/>
    <col min="13323" max="13558" width="11.42578125" style="688"/>
    <col min="13559" max="13559" width="8" style="688" customWidth="1"/>
    <col min="13560" max="13560" width="12.28515625" style="688" customWidth="1"/>
    <col min="13561" max="13571" width="9.28515625" style="688" customWidth="1"/>
    <col min="13572" max="13574" width="0" style="688" hidden="1" customWidth="1"/>
    <col min="13575" max="13575" width="12.5703125" style="688" customWidth="1"/>
    <col min="13576" max="13577" width="13.140625" style="688" bestFit="1" customWidth="1"/>
    <col min="13578" max="13578" width="20.42578125" style="688" bestFit="1" customWidth="1"/>
    <col min="13579" max="13814" width="11.42578125" style="688"/>
    <col min="13815" max="13815" width="8" style="688" customWidth="1"/>
    <col min="13816" max="13816" width="12.28515625" style="688" customWidth="1"/>
    <col min="13817" max="13827" width="9.28515625" style="688" customWidth="1"/>
    <col min="13828" max="13830" width="0" style="688" hidden="1" customWidth="1"/>
    <col min="13831" max="13831" width="12.5703125" style="688" customWidth="1"/>
    <col min="13832" max="13833" width="13.140625" style="688" bestFit="1" customWidth="1"/>
    <col min="13834" max="13834" width="20.42578125" style="688" bestFit="1" customWidth="1"/>
    <col min="13835" max="14070" width="11.42578125" style="688"/>
    <col min="14071" max="14071" width="8" style="688" customWidth="1"/>
    <col min="14072" max="14072" width="12.28515625" style="688" customWidth="1"/>
    <col min="14073" max="14083" width="9.28515625" style="688" customWidth="1"/>
    <col min="14084" max="14086" width="0" style="688" hidden="1" customWidth="1"/>
    <col min="14087" max="14087" width="12.5703125" style="688" customWidth="1"/>
    <col min="14088" max="14089" width="13.140625" style="688" bestFit="1" customWidth="1"/>
    <col min="14090" max="14090" width="20.42578125" style="688" bestFit="1" customWidth="1"/>
    <col min="14091" max="14326" width="11.42578125" style="688"/>
    <col min="14327" max="14327" width="8" style="688" customWidth="1"/>
    <col min="14328" max="14328" width="12.28515625" style="688" customWidth="1"/>
    <col min="14329" max="14339" width="9.28515625" style="688" customWidth="1"/>
    <col min="14340" max="14342" width="0" style="688" hidden="1" customWidth="1"/>
    <col min="14343" max="14343" width="12.5703125" style="688" customWidth="1"/>
    <col min="14344" max="14345" width="13.140625" style="688" bestFit="1" customWidth="1"/>
    <col min="14346" max="14346" width="20.42578125" style="688" bestFit="1" customWidth="1"/>
    <col min="14347" max="14582" width="11.42578125" style="688"/>
    <col min="14583" max="14583" width="8" style="688" customWidth="1"/>
    <col min="14584" max="14584" width="12.28515625" style="688" customWidth="1"/>
    <col min="14585" max="14595" width="9.28515625" style="688" customWidth="1"/>
    <col min="14596" max="14598" width="0" style="688" hidden="1" customWidth="1"/>
    <col min="14599" max="14599" width="12.5703125" style="688" customWidth="1"/>
    <col min="14600" max="14601" width="13.140625" style="688" bestFit="1" customWidth="1"/>
    <col min="14602" max="14602" width="20.42578125" style="688" bestFit="1" customWidth="1"/>
    <col min="14603" max="14838" width="11.42578125" style="688"/>
    <col min="14839" max="14839" width="8" style="688" customWidth="1"/>
    <col min="14840" max="14840" width="12.28515625" style="688" customWidth="1"/>
    <col min="14841" max="14851" width="9.28515625" style="688" customWidth="1"/>
    <col min="14852" max="14854" width="0" style="688" hidden="1" customWidth="1"/>
    <col min="14855" max="14855" width="12.5703125" style="688" customWidth="1"/>
    <col min="14856" max="14857" width="13.140625" style="688" bestFit="1" customWidth="1"/>
    <col min="14858" max="14858" width="20.42578125" style="688" bestFit="1" customWidth="1"/>
    <col min="14859" max="15094" width="11.42578125" style="688"/>
    <col min="15095" max="15095" width="8" style="688" customWidth="1"/>
    <col min="15096" max="15096" width="12.28515625" style="688" customWidth="1"/>
    <col min="15097" max="15107" width="9.28515625" style="688" customWidth="1"/>
    <col min="15108" max="15110" width="0" style="688" hidden="1" customWidth="1"/>
    <col min="15111" max="15111" width="12.5703125" style="688" customWidth="1"/>
    <col min="15112" max="15113" width="13.140625" style="688" bestFit="1" customWidth="1"/>
    <col min="15114" max="15114" width="20.42578125" style="688" bestFit="1" customWidth="1"/>
    <col min="15115" max="15350" width="11.42578125" style="688"/>
    <col min="15351" max="15351" width="8" style="688" customWidth="1"/>
    <col min="15352" max="15352" width="12.28515625" style="688" customWidth="1"/>
    <col min="15353" max="15363" width="9.28515625" style="688" customWidth="1"/>
    <col min="15364" max="15366" width="0" style="688" hidden="1" customWidth="1"/>
    <col min="15367" max="15367" width="12.5703125" style="688" customWidth="1"/>
    <col min="15368" max="15369" width="13.140625" style="688" bestFit="1" customWidth="1"/>
    <col min="15370" max="15370" width="20.42578125" style="688" bestFit="1" customWidth="1"/>
    <col min="15371" max="15606" width="11.42578125" style="688"/>
    <col min="15607" max="15607" width="8" style="688" customWidth="1"/>
    <col min="15608" max="15608" width="12.28515625" style="688" customWidth="1"/>
    <col min="15609" max="15619" width="9.28515625" style="688" customWidth="1"/>
    <col min="15620" max="15622" width="0" style="688" hidden="1" customWidth="1"/>
    <col min="15623" max="15623" width="12.5703125" style="688" customWidth="1"/>
    <col min="15624" max="15625" width="13.140625" style="688" bestFit="1" customWidth="1"/>
    <col min="15626" max="15626" width="20.42578125" style="688" bestFit="1" customWidth="1"/>
    <col min="15627" max="15862" width="11.42578125" style="688"/>
    <col min="15863" max="15863" width="8" style="688" customWidth="1"/>
    <col min="15864" max="15864" width="12.28515625" style="688" customWidth="1"/>
    <col min="15865" max="15875" width="9.28515625" style="688" customWidth="1"/>
    <col min="15876" max="15878" width="0" style="688" hidden="1" customWidth="1"/>
    <col min="15879" max="15879" width="12.5703125" style="688" customWidth="1"/>
    <col min="15880" max="15881" width="13.140625" style="688" bestFit="1" customWidth="1"/>
    <col min="15882" max="15882" width="20.42578125" style="688" bestFit="1" customWidth="1"/>
    <col min="15883" max="16118" width="11.42578125" style="688"/>
    <col min="16119" max="16119" width="8" style="688" customWidth="1"/>
    <col min="16120" max="16120" width="12.28515625" style="688" customWidth="1"/>
    <col min="16121" max="16131" width="9.28515625" style="688" customWidth="1"/>
    <col min="16132" max="16134" width="0" style="688" hidden="1" customWidth="1"/>
    <col min="16135" max="16135" width="12.5703125" style="688" customWidth="1"/>
    <col min="16136" max="16137" width="13.140625" style="688" bestFit="1" customWidth="1"/>
    <col min="16138" max="16138" width="20.42578125" style="688" bestFit="1" customWidth="1"/>
    <col min="16139" max="16384" width="11.42578125" style="688"/>
  </cols>
  <sheetData>
    <row r="1" spans="1:11" ht="18.75" x14ac:dyDescent="0.3">
      <c r="B1" s="955" t="s">
        <v>538</v>
      </c>
      <c r="C1" s="956"/>
      <c r="D1" s="955"/>
      <c r="E1" s="955"/>
      <c r="F1" s="955"/>
      <c r="G1" s="955"/>
      <c r="H1" s="955"/>
    </row>
    <row r="2" spans="1:11" ht="4.5" customHeight="1" x14ac:dyDescent="0.2"/>
    <row r="3" spans="1:11" ht="21" x14ac:dyDescent="0.2">
      <c r="A3" s="954" t="s">
        <v>1039</v>
      </c>
      <c r="B3" s="954"/>
      <c r="C3" s="954"/>
      <c r="D3" s="954"/>
      <c r="E3" s="954"/>
      <c r="F3" s="954"/>
      <c r="G3" s="954"/>
      <c r="H3" s="954"/>
      <c r="I3" s="954"/>
      <c r="J3" s="689"/>
    </row>
    <row r="4" spans="1:11" ht="3.75" customHeight="1" x14ac:dyDescent="0.2">
      <c r="I4" s="690"/>
      <c r="J4" s="689" t="s">
        <v>96</v>
      </c>
    </row>
    <row r="5" spans="1:11" s="749" customFormat="1" ht="18.75" x14ac:dyDescent="0.3">
      <c r="A5" s="953" t="s">
        <v>26</v>
      </c>
      <c r="B5" s="953"/>
      <c r="C5" s="953"/>
      <c r="D5" s="953"/>
      <c r="E5" s="953"/>
      <c r="F5" s="953"/>
      <c r="G5" s="953"/>
      <c r="H5" s="953"/>
      <c r="I5" s="953"/>
    </row>
    <row r="6" spans="1:11" ht="8.25" customHeight="1" x14ac:dyDescent="0.2">
      <c r="A6" s="691"/>
      <c r="C6" s="692"/>
      <c r="D6" s="692"/>
      <c r="E6" s="692"/>
      <c r="F6" s="692"/>
      <c r="G6" s="692"/>
      <c r="H6" s="692"/>
      <c r="I6" s="691"/>
      <c r="J6" s="691"/>
      <c r="K6" s="691"/>
    </row>
    <row r="7" spans="1:11" ht="27.75" hidden="1" customHeight="1" x14ac:dyDescent="0.2">
      <c r="A7" s="691"/>
      <c r="B7" s="966" t="s">
        <v>481</v>
      </c>
      <c r="C7" s="966"/>
      <c r="D7" s="966"/>
      <c r="E7" s="966"/>
      <c r="F7" s="966"/>
      <c r="G7" s="966"/>
      <c r="H7" s="966"/>
      <c r="I7" s="691"/>
      <c r="J7" s="691"/>
      <c r="K7" s="691"/>
    </row>
    <row r="8" spans="1:11" ht="15" hidden="1" customHeight="1" x14ac:dyDescent="0.2">
      <c r="A8" s="691"/>
      <c r="B8" s="692"/>
      <c r="C8" s="692"/>
      <c r="D8" s="692"/>
      <c r="E8" s="692"/>
      <c r="F8" s="692"/>
      <c r="G8" s="692"/>
      <c r="H8" s="692"/>
      <c r="I8" s="691"/>
      <c r="J8" s="691"/>
      <c r="K8" s="691"/>
    </row>
    <row r="9" spans="1:11" ht="26.25" customHeight="1" x14ac:dyDescent="0.2">
      <c r="A9" s="691"/>
      <c r="B9" s="952" t="s">
        <v>1395</v>
      </c>
      <c r="C9" s="952"/>
      <c r="D9" s="952"/>
      <c r="E9" s="952"/>
      <c r="F9" s="952"/>
      <c r="G9" s="952"/>
      <c r="H9" s="952"/>
      <c r="I9" s="691"/>
      <c r="J9" s="691"/>
      <c r="K9" s="691"/>
    </row>
    <row r="10" spans="1:11" ht="12" customHeight="1" x14ac:dyDescent="0.2">
      <c r="A10" s="691"/>
      <c r="B10" s="692"/>
      <c r="C10" s="692"/>
      <c r="D10" s="692"/>
      <c r="E10" s="692"/>
      <c r="F10" s="692"/>
      <c r="G10" s="692"/>
      <c r="H10" s="692"/>
      <c r="I10" s="691"/>
      <c r="J10" s="691"/>
    </row>
    <row r="11" spans="1:11" ht="12.75" x14ac:dyDescent="0.2">
      <c r="A11" s="691"/>
      <c r="B11" s="952" t="s">
        <v>1394</v>
      </c>
      <c r="C11" s="952"/>
      <c r="D11" s="952"/>
      <c r="E11" s="952"/>
      <c r="F11" s="952"/>
      <c r="G11" s="952"/>
      <c r="H11" s="952"/>
      <c r="I11" s="691"/>
      <c r="J11" s="691"/>
      <c r="K11" s="860">
        <v>235981.82484444446</v>
      </c>
    </row>
    <row r="12" spans="1:11" x14ac:dyDescent="0.2">
      <c r="A12" s="691"/>
      <c r="B12" s="693"/>
      <c r="C12" s="693"/>
      <c r="D12" s="693"/>
      <c r="E12" s="693"/>
      <c r="F12" s="693"/>
      <c r="G12" s="693"/>
      <c r="H12" s="693"/>
      <c r="I12" s="691"/>
      <c r="J12" s="691"/>
      <c r="K12" s="691"/>
    </row>
    <row r="13" spans="1:11" ht="12" customHeight="1" x14ac:dyDescent="0.2">
      <c r="A13" s="691"/>
      <c r="B13" s="952" t="s">
        <v>1396</v>
      </c>
      <c r="C13" s="952"/>
      <c r="D13" s="952"/>
      <c r="E13" s="952"/>
      <c r="F13" s="952"/>
      <c r="G13" s="952"/>
      <c r="H13" s="952"/>
      <c r="I13" s="691"/>
      <c r="J13" s="691"/>
      <c r="K13" s="691"/>
    </row>
    <row r="14" spans="1:11" ht="18" customHeight="1" x14ac:dyDescent="0.2">
      <c r="A14" s="691"/>
      <c r="B14" s="952"/>
      <c r="C14" s="952"/>
      <c r="D14" s="952"/>
      <c r="E14" s="952"/>
      <c r="F14" s="952"/>
      <c r="G14" s="952"/>
      <c r="H14" s="952"/>
      <c r="I14" s="691"/>
      <c r="J14" s="691"/>
      <c r="K14" s="691"/>
    </row>
    <row r="15" spans="1:11" x14ac:dyDescent="0.2">
      <c r="A15" s="691"/>
      <c r="B15" s="958" t="s">
        <v>507</v>
      </c>
      <c r="C15" s="961" t="s">
        <v>508</v>
      </c>
      <c r="D15" s="964" t="s">
        <v>510</v>
      </c>
      <c r="E15" s="693"/>
      <c r="F15" s="693"/>
      <c r="G15" s="693"/>
      <c r="H15" s="693"/>
      <c r="I15" s="691"/>
      <c r="J15" s="691"/>
      <c r="K15" s="691"/>
    </row>
    <row r="16" spans="1:11" x14ac:dyDescent="0.2">
      <c r="A16" s="691"/>
      <c r="B16" s="959"/>
      <c r="C16" s="962"/>
      <c r="D16" s="964"/>
      <c r="E16" s="693"/>
      <c r="F16" s="693"/>
      <c r="G16" s="693"/>
      <c r="H16" s="693"/>
      <c r="I16" s="691"/>
      <c r="J16" s="691"/>
      <c r="K16" s="691"/>
    </row>
    <row r="17" spans="1:9" x14ac:dyDescent="0.2">
      <c r="A17" s="691"/>
      <c r="B17" s="960"/>
      <c r="C17" s="963"/>
      <c r="D17" s="588">
        <v>2687332.81</v>
      </c>
      <c r="E17" s="693"/>
      <c r="F17" s="693"/>
      <c r="G17" s="693"/>
      <c r="H17" s="693"/>
      <c r="I17" s="691"/>
    </row>
    <row r="18" spans="1:9" x14ac:dyDescent="0.2">
      <c r="A18" s="691"/>
      <c r="B18" s="694">
        <v>45529</v>
      </c>
      <c r="C18" s="695">
        <v>6321.7665275337777</v>
      </c>
      <c r="D18" s="696">
        <f t="shared" ref="D18:D19" si="0">D19-C18</f>
        <v>2299134.7229615198</v>
      </c>
      <c r="E18" s="693"/>
      <c r="F18" s="693"/>
      <c r="G18" s="693"/>
      <c r="H18" s="693"/>
      <c r="I18" s="691"/>
    </row>
    <row r="19" spans="1:9" x14ac:dyDescent="0.2">
      <c r="A19" s="691"/>
      <c r="B19" s="694">
        <v>45498</v>
      </c>
      <c r="C19" s="695">
        <v>6467.7033066345866</v>
      </c>
      <c r="D19" s="696">
        <f t="shared" si="0"/>
        <v>2305456.4894890538</v>
      </c>
      <c r="E19" s="693"/>
      <c r="F19" s="693"/>
      <c r="G19" s="693"/>
      <c r="H19" s="693"/>
      <c r="I19" s="691"/>
    </row>
    <row r="20" spans="1:9" x14ac:dyDescent="0.2">
      <c r="A20" s="691"/>
      <c r="B20" s="694">
        <v>45468</v>
      </c>
      <c r="C20" s="695">
        <v>6341.4215831447837</v>
      </c>
      <c r="D20" s="696">
        <f t="shared" ref="D20:D21" si="1">D21-C20</f>
        <v>2311924.1927956883</v>
      </c>
      <c r="E20" s="693"/>
      <c r="F20" s="693"/>
      <c r="G20" s="693"/>
      <c r="H20" s="693"/>
      <c r="I20" s="691"/>
    </row>
    <row r="21" spans="1:9" x14ac:dyDescent="0.2">
      <c r="A21" s="691"/>
      <c r="B21" s="694">
        <v>45437</v>
      </c>
      <c r="C21" s="695">
        <v>6487.6022052824055</v>
      </c>
      <c r="D21" s="696">
        <f t="shared" si="1"/>
        <v>2318265.6143788332</v>
      </c>
      <c r="E21" s="693"/>
      <c r="F21" s="693"/>
      <c r="G21" s="693"/>
      <c r="H21" s="693"/>
      <c r="I21" s="691"/>
    </row>
    <row r="22" spans="1:9" x14ac:dyDescent="0.2">
      <c r="A22" s="691"/>
      <c r="B22" s="694">
        <v>45407</v>
      </c>
      <c r="C22" s="695">
        <v>6490.5155494721512</v>
      </c>
      <c r="D22" s="696">
        <f t="shared" ref="D22" si="2">D23-C22</f>
        <v>2324753.2165841158</v>
      </c>
      <c r="E22" s="693"/>
      <c r="F22" s="693"/>
      <c r="G22" s="693"/>
      <c r="H22" s="693"/>
      <c r="I22" s="691"/>
    </row>
    <row r="23" spans="1:9" x14ac:dyDescent="0.2">
      <c r="A23" s="691"/>
      <c r="B23" s="694">
        <v>45376</v>
      </c>
      <c r="C23" s="695">
        <v>6846.5523458043835</v>
      </c>
      <c r="D23" s="696">
        <f t="shared" ref="D23" si="3">D24-C23</f>
        <v>2331243.7321335878</v>
      </c>
      <c r="E23" s="693"/>
      <c r="F23" s="693"/>
      <c r="G23" s="693"/>
      <c r="H23" s="693"/>
      <c r="I23" s="691"/>
    </row>
    <row r="24" spans="1:9" x14ac:dyDescent="0.2">
      <c r="A24" s="691"/>
      <c r="B24" s="694">
        <v>45347</v>
      </c>
      <c r="C24" s="695">
        <v>6611.0019458116067</v>
      </c>
      <c r="D24" s="696">
        <f t="shared" ref="D24:D27" si="4">D25-C24</f>
        <v>2338090.2844793922</v>
      </c>
      <c r="E24" s="693"/>
      <c r="F24" s="693"/>
      <c r="G24" s="693"/>
      <c r="H24" s="693"/>
      <c r="I24" s="691"/>
    </row>
    <row r="25" spans="1:9" x14ac:dyDescent="0.2">
      <c r="A25" s="691"/>
      <c r="B25" s="694">
        <v>45316</v>
      </c>
      <c r="C25" s="695">
        <v>6859.8313183230548</v>
      </c>
      <c r="D25" s="696">
        <f t="shared" si="4"/>
        <v>2344701.286425204</v>
      </c>
      <c r="E25" s="801"/>
      <c r="F25" s="693"/>
      <c r="G25" s="693"/>
      <c r="H25" s="693"/>
      <c r="I25" s="691"/>
    </row>
    <row r="26" spans="1:9" x14ac:dyDescent="0.2">
      <c r="A26" s="691"/>
      <c r="B26" s="765">
        <v>2023</v>
      </c>
      <c r="C26" s="695">
        <v>84203.863285357191</v>
      </c>
      <c r="D26" s="696">
        <f t="shared" si="4"/>
        <v>2351561.1177435271</v>
      </c>
      <c r="E26" s="693"/>
      <c r="F26" s="693"/>
      <c r="G26" s="693"/>
      <c r="H26" s="693"/>
      <c r="I26" s="691"/>
    </row>
    <row r="27" spans="1:9" x14ac:dyDescent="0.2">
      <c r="A27" s="691"/>
      <c r="B27" s="765">
        <v>2022</v>
      </c>
      <c r="C27" s="695">
        <v>89824.349034029539</v>
      </c>
      <c r="D27" s="696">
        <f t="shared" si="4"/>
        <v>2435764.9810288842</v>
      </c>
      <c r="E27" s="697"/>
      <c r="F27" s="693"/>
      <c r="G27" s="693"/>
      <c r="H27" s="693"/>
      <c r="I27" s="691"/>
    </row>
    <row r="28" spans="1:9" x14ac:dyDescent="0.2">
      <c r="A28" s="691"/>
      <c r="B28" s="765">
        <v>2021</v>
      </c>
      <c r="C28" s="695">
        <v>161743.47993708643</v>
      </c>
      <c r="D28" s="696">
        <f>D17-C28</f>
        <v>2525589.3300629137</v>
      </c>
      <c r="E28" s="693"/>
      <c r="F28" s="693"/>
      <c r="G28" s="693"/>
      <c r="H28" s="693"/>
      <c r="I28" s="691"/>
    </row>
    <row r="29" spans="1:9" x14ac:dyDescent="0.2">
      <c r="A29" s="691"/>
      <c r="B29" s="698"/>
      <c r="C29" s="699"/>
      <c r="D29" s="699"/>
      <c r="E29" s="697"/>
      <c r="F29" s="693"/>
      <c r="G29" s="693"/>
      <c r="H29" s="693"/>
      <c r="I29" s="691"/>
    </row>
    <row r="30" spans="1:9" hidden="1" x14ac:dyDescent="0.2">
      <c r="A30" s="691"/>
      <c r="B30" s="788"/>
      <c r="C30" s="699"/>
      <c r="D30" s="699"/>
      <c r="E30" s="697"/>
      <c r="F30" s="693"/>
      <c r="G30" s="693"/>
      <c r="H30" s="693"/>
      <c r="I30" s="691"/>
    </row>
    <row r="31" spans="1:9" hidden="1" x14ac:dyDescent="0.2">
      <c r="A31" s="691"/>
      <c r="B31" s="965" t="s">
        <v>1022</v>
      </c>
      <c r="C31" s="965"/>
      <c r="D31" s="965"/>
      <c r="E31" s="965"/>
      <c r="F31" s="965"/>
      <c r="G31" s="965"/>
      <c r="H31" s="965"/>
      <c r="I31" s="691"/>
    </row>
    <row r="32" spans="1:9" x14ac:dyDescent="0.2">
      <c r="A32" s="691"/>
      <c r="B32" s="840"/>
      <c r="C32" s="840"/>
      <c r="D32" s="840"/>
      <c r="E32" s="840"/>
      <c r="F32" s="840"/>
      <c r="G32" s="840"/>
      <c r="H32" s="840"/>
      <c r="I32" s="691"/>
    </row>
    <row r="33" spans="1:11" hidden="1" x14ac:dyDescent="0.2">
      <c r="A33" s="691"/>
      <c r="B33" s="952" t="s">
        <v>973</v>
      </c>
      <c r="C33" s="952"/>
      <c r="D33" s="952"/>
      <c r="E33" s="952"/>
      <c r="F33" s="952"/>
      <c r="G33" s="952"/>
      <c r="H33" s="952"/>
      <c r="I33" s="691"/>
    </row>
    <row r="34" spans="1:11" hidden="1" x14ac:dyDescent="0.2">
      <c r="A34" s="691"/>
      <c r="B34" s="952"/>
      <c r="C34" s="952"/>
      <c r="D34" s="952"/>
      <c r="E34" s="952"/>
      <c r="F34" s="952"/>
      <c r="G34" s="952"/>
      <c r="H34" s="952"/>
      <c r="I34" s="691"/>
      <c r="J34" s="691"/>
      <c r="K34" s="691"/>
    </row>
    <row r="35" spans="1:11" hidden="1" x14ac:dyDescent="0.2">
      <c r="A35" s="691"/>
      <c r="B35" s="693"/>
      <c r="C35" s="693"/>
      <c r="D35" s="693"/>
      <c r="E35" s="693"/>
      <c r="F35" s="693"/>
      <c r="G35" s="693"/>
      <c r="H35" s="693"/>
      <c r="I35" s="691"/>
      <c r="J35" s="691"/>
      <c r="K35" s="691"/>
    </row>
    <row r="36" spans="1:11" hidden="1" x14ac:dyDescent="0.2">
      <c r="A36" s="691"/>
      <c r="B36" s="775" t="s">
        <v>967</v>
      </c>
      <c r="C36" s="775" t="s">
        <v>968</v>
      </c>
      <c r="D36" s="775" t="s">
        <v>969</v>
      </c>
      <c r="E36" s="775" t="s">
        <v>970</v>
      </c>
      <c r="F36" s="775" t="s">
        <v>971</v>
      </c>
      <c r="G36" s="775" t="s">
        <v>411</v>
      </c>
      <c r="H36" s="691"/>
      <c r="I36" s="691"/>
      <c r="J36" s="691"/>
      <c r="K36" s="691"/>
    </row>
    <row r="37" spans="1:11" ht="12.75" hidden="1" x14ac:dyDescent="0.2">
      <c r="A37" s="691"/>
      <c r="B37" s="777" t="s">
        <v>972</v>
      </c>
      <c r="C37" s="778">
        <v>15180</v>
      </c>
      <c r="D37" s="779" t="s">
        <v>462</v>
      </c>
      <c r="E37" s="780">
        <v>45455</v>
      </c>
      <c r="F37" s="781">
        <v>45458</v>
      </c>
      <c r="G37" s="782">
        <v>257267.89</v>
      </c>
      <c r="H37" s="691"/>
      <c r="I37" s="691"/>
      <c r="J37" s="691"/>
      <c r="K37" s="691"/>
    </row>
    <row r="38" spans="1:11" ht="12.75" hidden="1" x14ac:dyDescent="0.2">
      <c r="A38" s="691"/>
      <c r="B38" s="777"/>
      <c r="C38" s="778"/>
      <c r="D38" s="779"/>
      <c r="E38" s="780"/>
      <c r="F38" s="781"/>
      <c r="G38" s="782"/>
      <c r="H38" s="691"/>
      <c r="I38" s="691"/>
      <c r="J38" s="691"/>
      <c r="K38" s="691"/>
    </row>
    <row r="39" spans="1:11" ht="12.75" hidden="1" x14ac:dyDescent="0.2">
      <c r="A39" s="691"/>
      <c r="B39" s="777"/>
      <c r="C39" s="778"/>
      <c r="D39" s="779"/>
      <c r="E39" s="780"/>
      <c r="F39" s="781"/>
      <c r="G39" s="782"/>
      <c r="H39" s="691"/>
      <c r="I39" s="691"/>
      <c r="J39" s="691"/>
      <c r="K39" s="691"/>
    </row>
    <row r="40" spans="1:11" hidden="1" x14ac:dyDescent="0.2">
      <c r="A40" s="691"/>
      <c r="B40" s="965" t="s">
        <v>1024</v>
      </c>
      <c r="C40" s="965"/>
      <c r="D40" s="965"/>
      <c r="E40" s="965"/>
      <c r="F40" s="965"/>
      <c r="G40" s="965"/>
      <c r="H40" s="965"/>
      <c r="I40" s="691"/>
      <c r="J40" s="691"/>
      <c r="K40" s="691">
        <v>551383.66</v>
      </c>
    </row>
    <row r="41" spans="1:11" x14ac:dyDescent="0.2">
      <c r="A41" s="691"/>
      <c r="B41" s="754"/>
      <c r="C41" s="754"/>
      <c r="D41" s="754"/>
      <c r="E41" s="754"/>
      <c r="F41" s="754"/>
      <c r="G41" s="754"/>
      <c r="H41" s="754"/>
      <c r="I41" s="691"/>
      <c r="J41" s="691"/>
      <c r="K41" s="691"/>
    </row>
    <row r="42" spans="1:11" ht="18.75" x14ac:dyDescent="0.3">
      <c r="A42" s="951" t="s">
        <v>459</v>
      </c>
      <c r="B42" s="951"/>
      <c r="C42" s="951"/>
      <c r="D42" s="951"/>
      <c r="E42" s="951"/>
      <c r="F42" s="951"/>
      <c r="G42" s="951"/>
      <c r="H42" s="951"/>
      <c r="I42" s="951"/>
      <c r="J42" s="691"/>
      <c r="K42" s="691"/>
    </row>
    <row r="43" spans="1:11" ht="6" customHeight="1" x14ac:dyDescent="0.2">
      <c r="A43" s="691"/>
      <c r="C43" s="700"/>
      <c r="D43" s="700"/>
      <c r="E43" s="700"/>
      <c r="F43" s="700"/>
      <c r="G43" s="700"/>
      <c r="H43" s="700"/>
      <c r="I43" s="691"/>
      <c r="J43" s="691"/>
      <c r="K43" s="691"/>
    </row>
    <row r="44" spans="1:11" x14ac:dyDescent="0.2">
      <c r="A44" s="691"/>
      <c r="B44" s="957" t="s">
        <v>1397</v>
      </c>
      <c r="C44" s="957"/>
      <c r="D44" s="957"/>
      <c r="E44" s="957"/>
      <c r="F44" s="957"/>
      <c r="G44" s="957"/>
      <c r="H44" s="957"/>
      <c r="I44" s="691"/>
      <c r="J44" s="691"/>
      <c r="K44" s="784">
        <f>+'GASTOS Y COMISIONES DE COBRANZA'!F20</f>
        <v>7707.0399999999991</v>
      </c>
    </row>
    <row r="45" spans="1:11" ht="15.75" customHeight="1" x14ac:dyDescent="0.2">
      <c r="A45" s="691"/>
      <c r="B45" s="701" t="s">
        <v>450</v>
      </c>
      <c r="C45" s="701" t="s">
        <v>350</v>
      </c>
      <c r="D45" s="702"/>
      <c r="E45" s="702"/>
      <c r="F45" s="702"/>
      <c r="G45" s="702"/>
      <c r="H45" s="702"/>
      <c r="I45" s="691"/>
      <c r="J45" s="691"/>
      <c r="K45" s="784">
        <f>+'GASTOS Y COMISIONES DE COBRANZA'!F19</f>
        <v>0</v>
      </c>
    </row>
    <row r="46" spans="1:11" x14ac:dyDescent="0.2">
      <c r="A46" s="691"/>
      <c r="B46" s="703" t="s">
        <v>537</v>
      </c>
      <c r="C46" s="704">
        <f>+'GASTOS Y COMISIONES'!L8</f>
        <v>0</v>
      </c>
      <c r="D46" s="790">
        <v>24973.68</v>
      </c>
      <c r="E46" s="702"/>
      <c r="F46" s="702"/>
      <c r="G46" s="702"/>
      <c r="H46" s="702"/>
      <c r="I46" s="691"/>
      <c r="J46" s="691"/>
      <c r="K46" s="791">
        <f>+K44+K45</f>
        <v>7707.0399999999991</v>
      </c>
    </row>
    <row r="47" spans="1:11" x14ac:dyDescent="0.2">
      <c r="A47" s="691"/>
      <c r="B47" s="703" t="s">
        <v>441</v>
      </c>
      <c r="C47" s="704">
        <f>+D47*1.16</f>
        <v>7707.0399999999991</v>
      </c>
      <c r="D47" s="790">
        <v>6644</v>
      </c>
      <c r="E47" s="702"/>
      <c r="F47" s="702"/>
      <c r="G47" s="702"/>
      <c r="H47" s="702"/>
      <c r="I47" s="691"/>
      <c r="J47" s="691"/>
      <c r="K47" s="691"/>
    </row>
    <row r="48" spans="1:11" x14ac:dyDescent="0.2">
      <c r="A48" s="691"/>
      <c r="B48" s="703" t="s">
        <v>442</v>
      </c>
      <c r="C48" s="704">
        <f>+D48*1.16</f>
        <v>0</v>
      </c>
      <c r="D48" s="790">
        <v>0</v>
      </c>
      <c r="E48" s="702"/>
      <c r="F48" s="702"/>
      <c r="G48" s="702"/>
      <c r="H48" s="702"/>
      <c r="I48" s="691"/>
      <c r="J48" s="691"/>
      <c r="K48" s="691"/>
    </row>
    <row r="49" spans="1:11" x14ac:dyDescent="0.2">
      <c r="A49" s="691"/>
      <c r="B49" s="705"/>
      <c r="C49" s="706">
        <f>SUM(C46:C48)</f>
        <v>7707.0399999999991</v>
      </c>
      <c r="D49" s="702"/>
      <c r="E49" s="702"/>
      <c r="F49" s="702"/>
      <c r="G49" s="702"/>
      <c r="H49" s="702"/>
      <c r="I49" s="691"/>
      <c r="J49" s="691"/>
      <c r="K49" s="691"/>
    </row>
    <row r="50" spans="1:11" ht="8.25" customHeight="1" x14ac:dyDescent="0.2">
      <c r="A50" s="691"/>
      <c r="B50" s="702"/>
      <c r="C50" s="702"/>
      <c r="D50" s="702"/>
      <c r="E50" s="702"/>
      <c r="F50" s="702"/>
      <c r="G50" s="702"/>
      <c r="H50" s="702"/>
      <c r="I50" s="691"/>
    </row>
    <row r="51" spans="1:11" s="707" customFormat="1" x14ac:dyDescent="0.2">
      <c r="B51" s="949" t="s">
        <v>1398</v>
      </c>
      <c r="C51" s="949"/>
      <c r="D51" s="949"/>
      <c r="E51" s="949"/>
      <c r="F51" s="949"/>
      <c r="G51" s="949"/>
      <c r="H51" s="949"/>
    </row>
    <row r="52" spans="1:11" s="707" customFormat="1" x14ac:dyDescent="0.2">
      <c r="B52" s="949"/>
      <c r="C52" s="949"/>
      <c r="D52" s="949"/>
      <c r="E52" s="949"/>
      <c r="F52" s="949"/>
      <c r="G52" s="949"/>
      <c r="H52" s="949"/>
    </row>
    <row r="53" spans="1:11" s="707" customFormat="1" x14ac:dyDescent="0.2">
      <c r="B53" s="708" t="s">
        <v>451</v>
      </c>
      <c r="C53" s="708" t="s">
        <v>452</v>
      </c>
      <c r="D53" s="708" t="s">
        <v>453</v>
      </c>
      <c r="E53" s="708" t="s">
        <v>454</v>
      </c>
      <c r="F53" s="709"/>
      <c r="G53" s="709"/>
      <c r="H53" s="709"/>
    </row>
    <row r="54" spans="1:11" s="707" customFormat="1" x14ac:dyDescent="0.2">
      <c r="B54" s="710" t="s">
        <v>428</v>
      </c>
      <c r="C54" s="711">
        <v>55</v>
      </c>
      <c r="D54" s="712">
        <v>4811710.3800000018</v>
      </c>
      <c r="E54" s="713">
        <v>0.79710144927536231</v>
      </c>
      <c r="F54" s="709"/>
      <c r="G54" s="709"/>
      <c r="H54" s="709"/>
    </row>
    <row r="55" spans="1:11" s="707" customFormat="1" x14ac:dyDescent="0.2">
      <c r="B55" s="710" t="s">
        <v>951</v>
      </c>
      <c r="C55" s="711">
        <v>1</v>
      </c>
      <c r="D55" s="712">
        <v>19765.62</v>
      </c>
      <c r="E55" s="713">
        <v>1.4492753623188406E-2</v>
      </c>
      <c r="F55" s="709"/>
      <c r="G55" s="709"/>
      <c r="H55" s="709"/>
    </row>
    <row r="56" spans="1:11" s="707" customFormat="1" x14ac:dyDescent="0.2">
      <c r="B56" s="710" t="s">
        <v>1008</v>
      </c>
      <c r="C56" s="711">
        <v>1</v>
      </c>
      <c r="D56" s="712">
        <v>51912.71</v>
      </c>
      <c r="E56" s="713">
        <v>1.4492753623188406E-2</v>
      </c>
      <c r="F56" s="709"/>
      <c r="G56" s="709"/>
      <c r="H56" s="709"/>
    </row>
    <row r="57" spans="1:11" s="707" customFormat="1" x14ac:dyDescent="0.2">
      <c r="B57" s="710" t="s">
        <v>950</v>
      </c>
      <c r="C57" s="711">
        <v>1</v>
      </c>
      <c r="D57" s="712">
        <v>44227.8</v>
      </c>
      <c r="E57" s="713">
        <v>1.4492753623188406E-2</v>
      </c>
      <c r="F57" s="709"/>
      <c r="G57" s="709"/>
      <c r="H57" s="709"/>
    </row>
    <row r="58" spans="1:11" s="707" customFormat="1" x14ac:dyDescent="0.2">
      <c r="B58" s="710"/>
      <c r="C58" s="711"/>
      <c r="D58" s="712"/>
      <c r="E58" s="713"/>
      <c r="F58" s="709"/>
      <c r="G58" s="709"/>
      <c r="H58" s="709"/>
    </row>
    <row r="59" spans="1:11" s="707" customFormat="1" x14ac:dyDescent="0.2">
      <c r="B59" s="714" t="s">
        <v>455</v>
      </c>
      <c r="C59" s="708">
        <f>SUM(C54:C58)</f>
        <v>58</v>
      </c>
      <c r="D59" s="715">
        <f>SUM(D54:D58)</f>
        <v>4927616.5100000016</v>
      </c>
      <c r="E59" s="716">
        <f>SUM(E54:E58)</f>
        <v>0.84057971014492738</v>
      </c>
    </row>
    <row r="60" spans="1:11" s="707" customFormat="1" x14ac:dyDescent="0.2">
      <c r="B60" s="717" t="s">
        <v>430</v>
      </c>
      <c r="C60" s="718">
        <f>C61</f>
        <v>11</v>
      </c>
      <c r="D60" s="719">
        <f>D61</f>
        <v>408139.42999999993</v>
      </c>
      <c r="E60" s="720">
        <f>E61</f>
        <v>0.15942028985507245</v>
      </c>
    </row>
    <row r="61" spans="1:11" s="707" customFormat="1" x14ac:dyDescent="0.2">
      <c r="B61" s="721" t="s">
        <v>482</v>
      </c>
      <c r="C61" s="722">
        <v>11</v>
      </c>
      <c r="D61" s="723">
        <v>408139.42999999993</v>
      </c>
      <c r="E61" s="720">
        <v>0.15942028985507245</v>
      </c>
    </row>
    <row r="62" spans="1:11" s="707" customFormat="1" x14ac:dyDescent="0.2">
      <c r="B62" s="714" t="s">
        <v>456</v>
      </c>
      <c r="C62" s="708">
        <f>C59+C60</f>
        <v>69</v>
      </c>
      <c r="D62" s="715">
        <f>D59+D60</f>
        <v>5335755.9400000013</v>
      </c>
      <c r="E62" s="716">
        <f>E59+E60</f>
        <v>0.99999999999999978</v>
      </c>
    </row>
    <row r="63" spans="1:11" s="707" customFormat="1" ht="4.5" customHeight="1" x14ac:dyDescent="0.2"/>
    <row r="64" spans="1:11" s="707" customFormat="1" x14ac:dyDescent="0.2">
      <c r="B64" s="952" t="s">
        <v>1030</v>
      </c>
      <c r="C64" s="952"/>
      <c r="D64" s="952"/>
      <c r="E64" s="952"/>
      <c r="F64" s="952"/>
      <c r="G64" s="952"/>
      <c r="H64" s="952"/>
    </row>
    <row r="65" spans="1:9" s="707" customFormat="1" x14ac:dyDescent="0.2">
      <c r="B65" s="952"/>
      <c r="C65" s="952"/>
      <c r="D65" s="952"/>
      <c r="E65" s="952"/>
      <c r="F65" s="952"/>
      <c r="G65" s="952"/>
      <c r="H65" s="952"/>
    </row>
    <row r="66" spans="1:9" s="707" customFormat="1" x14ac:dyDescent="0.2">
      <c r="B66" s="708" t="s">
        <v>474</v>
      </c>
      <c r="C66" s="708" t="s">
        <v>368</v>
      </c>
      <c r="D66" s="708" t="s">
        <v>475</v>
      </c>
      <c r="E66" s="708" t="s">
        <v>476</v>
      </c>
      <c r="F66" s="708" t="s">
        <v>451</v>
      </c>
      <c r="G66" s="708" t="s">
        <v>420</v>
      </c>
      <c r="H66" s="708" t="s">
        <v>477</v>
      </c>
      <c r="I66" s="693"/>
    </row>
    <row r="67" spans="1:9" s="707" customFormat="1" ht="24" x14ac:dyDescent="0.2">
      <c r="B67" s="724" t="s">
        <v>580</v>
      </c>
      <c r="C67" s="755" t="s">
        <v>979</v>
      </c>
      <c r="D67" s="710" t="s">
        <v>539</v>
      </c>
      <c r="E67" s="710" t="s">
        <v>429</v>
      </c>
      <c r="F67" s="710" t="s">
        <v>430</v>
      </c>
      <c r="G67" s="712">
        <v>43582.13</v>
      </c>
      <c r="H67" s="711">
        <v>31</v>
      </c>
      <c r="I67" s="693"/>
    </row>
    <row r="68" spans="1:9" s="707" customFormat="1" ht="24" customHeight="1" x14ac:dyDescent="0.2">
      <c r="B68" s="724" t="s">
        <v>427</v>
      </c>
      <c r="C68" s="755" t="s">
        <v>541</v>
      </c>
      <c r="D68" s="710" t="s">
        <v>539</v>
      </c>
      <c r="E68" s="710" t="s">
        <v>429</v>
      </c>
      <c r="F68" s="710" t="s">
        <v>430</v>
      </c>
      <c r="G68" s="712">
        <v>53044.94</v>
      </c>
      <c r="H68" s="711">
        <v>96</v>
      </c>
      <c r="I68" s="693"/>
    </row>
    <row r="69" spans="1:9" s="707" customFormat="1" ht="24" x14ac:dyDescent="0.2">
      <c r="B69" s="724" t="s">
        <v>555</v>
      </c>
      <c r="C69" s="755" t="s">
        <v>979</v>
      </c>
      <c r="D69" s="710" t="s">
        <v>539</v>
      </c>
      <c r="E69" s="710" t="s">
        <v>429</v>
      </c>
      <c r="F69" s="710" t="s">
        <v>430</v>
      </c>
      <c r="G69" s="712">
        <v>8008.35</v>
      </c>
      <c r="H69" s="711">
        <v>34</v>
      </c>
      <c r="I69" s="693"/>
    </row>
    <row r="70" spans="1:9" s="707" customFormat="1" ht="3.75" customHeight="1" x14ac:dyDescent="0.2"/>
    <row r="71" spans="1:9" ht="18.75" x14ac:dyDescent="0.3">
      <c r="A71" s="951" t="s">
        <v>460</v>
      </c>
      <c r="B71" s="951"/>
      <c r="C71" s="951"/>
      <c r="D71" s="951"/>
      <c r="E71" s="951"/>
      <c r="F71" s="951"/>
      <c r="G71" s="951"/>
      <c r="H71" s="951"/>
      <c r="I71" s="951"/>
    </row>
    <row r="72" spans="1:9" ht="7.5" customHeight="1" x14ac:dyDescent="0.2">
      <c r="A72" s="691"/>
      <c r="I72" s="691"/>
    </row>
    <row r="73" spans="1:9" x14ac:dyDescent="0.2">
      <c r="B73" s="950" t="s">
        <v>1019</v>
      </c>
      <c r="C73" s="950"/>
      <c r="D73" s="950"/>
      <c r="E73" s="950"/>
      <c r="F73" s="950"/>
      <c r="G73" s="950"/>
      <c r="H73" s="950"/>
    </row>
    <row r="74" spans="1:9" x14ac:dyDescent="0.2">
      <c r="B74" s="725" t="s">
        <v>416</v>
      </c>
      <c r="C74" s="726" t="s">
        <v>417</v>
      </c>
      <c r="D74" s="726" t="s">
        <v>418</v>
      </c>
      <c r="E74" s="726" t="s">
        <v>419</v>
      </c>
      <c r="F74" s="726" t="s">
        <v>420</v>
      </c>
      <c r="G74" s="727" t="s">
        <v>421</v>
      </c>
      <c r="H74" s="727" t="s">
        <v>477</v>
      </c>
    </row>
    <row r="75" spans="1:9" x14ac:dyDescent="0.2">
      <c r="B75" s="728"/>
      <c r="C75" s="729"/>
      <c r="D75" s="729"/>
      <c r="E75" s="729"/>
      <c r="F75" s="730"/>
      <c r="G75" s="731"/>
      <c r="H75" s="757"/>
    </row>
    <row r="76" spans="1:9" ht="3" customHeight="1" x14ac:dyDescent="0.2">
      <c r="B76" s="728"/>
      <c r="C76" s="729"/>
      <c r="D76" s="729"/>
      <c r="E76" s="729"/>
      <c r="F76" s="730"/>
      <c r="G76" s="731"/>
      <c r="H76" s="757"/>
    </row>
    <row r="77" spans="1:9" ht="3" customHeight="1" x14ac:dyDescent="0.2">
      <c r="B77" s="728"/>
      <c r="C77" s="729"/>
      <c r="D77" s="729"/>
      <c r="E77" s="729"/>
      <c r="F77" s="730"/>
      <c r="G77" s="731"/>
      <c r="H77" s="757"/>
    </row>
    <row r="78" spans="1:9" x14ac:dyDescent="0.2">
      <c r="B78" s="732">
        <f>COUNTA(B75:B75)</f>
        <v>0</v>
      </c>
      <c r="F78" s="733">
        <f>SUM(F75:F77)</f>
        <v>0</v>
      </c>
    </row>
    <row r="79" spans="1:9" ht="6.75" customHeight="1" x14ac:dyDescent="0.2">
      <c r="B79" s="734"/>
      <c r="F79" s="735"/>
    </row>
    <row r="80" spans="1:9" x14ac:dyDescent="0.2">
      <c r="B80" s="948" t="s">
        <v>1021</v>
      </c>
      <c r="C80" s="948"/>
      <c r="D80" s="948"/>
      <c r="E80" s="948"/>
      <c r="F80" s="948"/>
      <c r="G80" s="948"/>
      <c r="H80" s="948"/>
    </row>
    <row r="81" spans="2:8" x14ac:dyDescent="0.2">
      <c r="B81" s="725" t="s">
        <v>445</v>
      </c>
      <c r="C81" s="736" t="s">
        <v>416</v>
      </c>
      <c r="D81" s="736" t="s">
        <v>446</v>
      </c>
      <c r="E81" s="726" t="s">
        <v>447</v>
      </c>
      <c r="F81" s="726" t="s">
        <v>448</v>
      </c>
      <c r="G81" s="727" t="s">
        <v>449</v>
      </c>
      <c r="H81" s="707"/>
    </row>
    <row r="82" spans="2:8" hidden="1" x14ac:dyDescent="0.2">
      <c r="B82" s="729"/>
      <c r="C82" s="724"/>
      <c r="D82" s="737"/>
      <c r="E82" s="738"/>
      <c r="F82" s="738"/>
      <c r="G82" s="738"/>
      <c r="H82" s="707"/>
    </row>
    <row r="83" spans="2:8" x14ac:dyDescent="0.2">
      <c r="B83" s="729"/>
      <c r="C83" s="724"/>
      <c r="D83" s="737"/>
      <c r="E83" s="738"/>
      <c r="F83" s="738"/>
      <c r="G83" s="738"/>
      <c r="H83" s="707"/>
    </row>
    <row r="84" spans="2:8" x14ac:dyDescent="0.2">
      <c r="B84" s="739"/>
      <c r="C84" s="732"/>
      <c r="D84" s="740">
        <f>SUM(D82:D83)</f>
        <v>0</v>
      </c>
      <c r="E84" s="740">
        <f>SUM(E82:E83)</f>
        <v>0</v>
      </c>
      <c r="F84" s="740">
        <f>SUM(F82:F83)</f>
        <v>0</v>
      </c>
      <c r="G84" s="740">
        <f>SUM(G82:G83)</f>
        <v>0</v>
      </c>
      <c r="H84" s="739"/>
    </row>
    <row r="85" spans="2:8" ht="6.75" customHeight="1" x14ac:dyDescent="0.2">
      <c r="B85" s="739"/>
      <c r="C85" s="739"/>
      <c r="D85" s="741"/>
      <c r="E85" s="741"/>
      <c r="F85" s="741"/>
      <c r="G85" s="741"/>
      <c r="H85" s="739"/>
    </row>
    <row r="86" spans="2:8" ht="14.25" customHeight="1" x14ac:dyDescent="0.2">
      <c r="B86" s="950" t="s">
        <v>1032</v>
      </c>
      <c r="C86" s="950"/>
      <c r="D86" s="950"/>
      <c r="E86" s="950"/>
      <c r="F86" s="950"/>
      <c r="G86" s="950"/>
      <c r="H86" s="950"/>
    </row>
    <row r="87" spans="2:8" ht="6" customHeight="1" x14ac:dyDescent="0.2">
      <c r="B87" s="766"/>
      <c r="C87" s="766"/>
      <c r="D87" s="766"/>
      <c r="E87" s="766"/>
      <c r="F87" s="766"/>
      <c r="G87" s="766"/>
      <c r="H87" s="766"/>
    </row>
    <row r="88" spans="2:8" x14ac:dyDescent="0.2">
      <c r="B88" s="950" t="s">
        <v>511</v>
      </c>
      <c r="C88" s="950"/>
      <c r="D88" s="950"/>
      <c r="E88" s="950"/>
      <c r="F88" s="950"/>
      <c r="G88" s="950"/>
      <c r="H88" s="950"/>
    </row>
    <row r="89" spans="2:8" ht="25.5" customHeight="1" x14ac:dyDescent="0.2">
      <c r="B89" s="736" t="s">
        <v>478</v>
      </c>
      <c r="C89" s="726" t="s">
        <v>479</v>
      </c>
      <c r="D89" s="739"/>
      <c r="E89" s="736" t="s">
        <v>480</v>
      </c>
      <c r="F89" s="736" t="s">
        <v>448</v>
      </c>
      <c r="G89" s="739"/>
      <c r="H89" s="739"/>
    </row>
    <row r="90" spans="2:8" x14ac:dyDescent="0.2">
      <c r="B90" s="742">
        <v>0</v>
      </c>
      <c r="C90" s="737">
        <v>0</v>
      </c>
      <c r="D90" s="763"/>
      <c r="E90" s="742">
        <v>1</v>
      </c>
      <c r="F90" s="737">
        <v>145500</v>
      </c>
      <c r="G90" s="764"/>
      <c r="H90" s="739"/>
    </row>
    <row r="91" spans="2:8" x14ac:dyDescent="0.2">
      <c r="E91" s="743"/>
      <c r="F91" s="743"/>
    </row>
    <row r="92" spans="2:8" x14ac:dyDescent="0.2">
      <c r="B92" s="744" t="s">
        <v>425</v>
      </c>
      <c r="C92" s="745" t="s">
        <v>422</v>
      </c>
      <c r="D92" s="745" t="s">
        <v>423</v>
      </c>
      <c r="E92" s="745" t="s">
        <v>424</v>
      </c>
      <c r="F92" s="744" t="s">
        <v>426</v>
      </c>
    </row>
    <row r="93" spans="2:8" x14ac:dyDescent="0.2">
      <c r="B93" s="746">
        <v>36</v>
      </c>
      <c r="C93" s="746">
        <v>0</v>
      </c>
      <c r="D93" s="746">
        <v>0</v>
      </c>
      <c r="E93" s="746">
        <v>0</v>
      </c>
      <c r="F93" s="746">
        <f>+B93+C93-D93-E93</f>
        <v>36</v>
      </c>
      <c r="G93" s="688">
        <f>+'REPORTE COBRANZA N'!H81</f>
        <v>36</v>
      </c>
      <c r="H93" s="772">
        <f>+F93-G93</f>
        <v>0</v>
      </c>
    </row>
    <row r="94" spans="2:8" x14ac:dyDescent="0.2">
      <c r="B94" s="747">
        <v>3067101.09</v>
      </c>
      <c r="C94" s="747">
        <v>0</v>
      </c>
      <c r="D94" s="747">
        <v>0</v>
      </c>
      <c r="E94" s="747">
        <v>0</v>
      </c>
      <c r="F94" s="798">
        <f>+B94+C94-D94-E94</f>
        <v>3067101.09</v>
      </c>
      <c r="G94" s="771">
        <f>+'REPORTE COBRANZA N'!H82</f>
        <v>3067101.09</v>
      </c>
      <c r="H94" s="771">
        <f>+F94-G94</f>
        <v>0</v>
      </c>
    </row>
    <row r="97" spans="3:3" x14ac:dyDescent="0.2">
      <c r="C97" s="688">
        <f>+'REPORTE COBRANZA N'!D92</f>
        <v>0</v>
      </c>
    </row>
    <row r="98" spans="3:3" x14ac:dyDescent="0.2">
      <c r="C98" s="748">
        <f>+'REPORTE COBRANZA N'!E92</f>
        <v>0</v>
      </c>
    </row>
  </sheetData>
  <sortState xmlns:xlrd2="http://schemas.microsoft.com/office/spreadsheetml/2017/richdata2" ref="B69:H69">
    <sortCondition descending="1" ref="H69"/>
  </sortState>
  <mergeCells count="22">
    <mergeCell ref="A5:I5"/>
    <mergeCell ref="A3:I3"/>
    <mergeCell ref="B1:H1"/>
    <mergeCell ref="B44:H44"/>
    <mergeCell ref="B11:H11"/>
    <mergeCell ref="B15:B17"/>
    <mergeCell ref="C15:C17"/>
    <mergeCell ref="A42:I42"/>
    <mergeCell ref="D15:D16"/>
    <mergeCell ref="B13:H14"/>
    <mergeCell ref="B33:H34"/>
    <mergeCell ref="B31:H31"/>
    <mergeCell ref="B40:H40"/>
    <mergeCell ref="B9:H9"/>
    <mergeCell ref="B7:H7"/>
    <mergeCell ref="B80:H80"/>
    <mergeCell ref="B51:H52"/>
    <mergeCell ref="B88:H88"/>
    <mergeCell ref="B73:H73"/>
    <mergeCell ref="A71:I71"/>
    <mergeCell ref="B64:H65"/>
    <mergeCell ref="B86:H86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85" fitToHeight="0" orientation="landscape" r:id="rId1"/>
  <headerFooter alignWithMargins="0"/>
  <rowBreaks count="1" manualBreakCount="1">
    <brk id="4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C1A4-74C2-471A-B91B-9CC81DA63F1E}">
  <sheetPr>
    <pageSetUpPr fitToPage="1"/>
  </sheetPr>
  <dimension ref="A1:I32"/>
  <sheetViews>
    <sheetView showGridLines="0" view="pageBreakPreview" topLeftCell="A11" zoomScaleNormal="115" zoomScaleSheetLayoutView="100" workbookViewId="0">
      <selection activeCell="F26" sqref="F26"/>
    </sheetView>
  </sheetViews>
  <sheetFormatPr baseColWidth="10" defaultColWidth="14.42578125" defaultRowHeight="15" customHeight="1" x14ac:dyDescent="0.2"/>
  <cols>
    <col min="1" max="1" width="13.42578125" style="590" bestFit="1" customWidth="1"/>
    <col min="2" max="2" width="30.5703125" style="590" customWidth="1"/>
    <col min="3" max="3" width="23.42578125" style="590" customWidth="1"/>
    <col min="4" max="4" width="11.42578125" style="590" customWidth="1"/>
    <col min="5" max="5" width="13.140625" style="590" customWidth="1"/>
    <col min="6" max="6" width="12.85546875" style="590" customWidth="1"/>
    <col min="7" max="7" width="13.28515625" style="590" customWidth="1"/>
    <col min="8" max="8" width="3.28515625" style="590" customWidth="1"/>
    <col min="9" max="12" width="11.42578125" style="590" customWidth="1"/>
    <col min="13" max="22" width="10.7109375" style="590" customWidth="1"/>
    <col min="23" max="16384" width="14.42578125" style="590"/>
  </cols>
  <sheetData>
    <row r="1" spans="1:8" ht="12.75" customHeight="1" x14ac:dyDescent="0.2">
      <c r="A1" s="589"/>
      <c r="B1" s="589"/>
      <c r="C1" s="589"/>
      <c r="D1" s="589"/>
      <c r="E1" s="589"/>
      <c r="F1" s="589"/>
      <c r="G1" s="589"/>
      <c r="H1" s="589"/>
    </row>
    <row r="2" spans="1:8" ht="15.75" x14ac:dyDescent="0.25">
      <c r="A2" s="971" t="s">
        <v>1038</v>
      </c>
      <c r="B2" s="971"/>
      <c r="C2" s="971"/>
      <c r="D2" s="971"/>
      <c r="E2" s="971"/>
      <c r="F2" s="971"/>
      <c r="G2" s="971"/>
      <c r="H2" s="971"/>
    </row>
    <row r="3" spans="1:8" ht="12.75" customHeight="1" x14ac:dyDescent="0.2">
      <c r="A3" s="589"/>
      <c r="B3" s="589"/>
      <c r="C3" s="589"/>
      <c r="D3" s="589"/>
      <c r="E3" s="589"/>
      <c r="F3" s="589"/>
      <c r="G3" s="589"/>
      <c r="H3" s="589"/>
    </row>
    <row r="4" spans="1:8" ht="36.75" customHeight="1" x14ac:dyDescent="0.2">
      <c r="A4" s="589"/>
      <c r="B4" s="591" t="s">
        <v>407</v>
      </c>
      <c r="C4" s="592" t="s">
        <v>408</v>
      </c>
      <c r="D4" s="592" t="s">
        <v>409</v>
      </c>
      <c r="E4" s="592" t="s">
        <v>410</v>
      </c>
      <c r="F4" s="592" t="s">
        <v>411</v>
      </c>
      <c r="G4" s="589"/>
      <c r="H4" s="589"/>
    </row>
    <row r="5" spans="1:8" ht="12.75" customHeight="1" x14ac:dyDescent="0.2">
      <c r="A5" s="589"/>
      <c r="B5" s="593" t="s">
        <v>13</v>
      </c>
      <c r="C5" s="594" t="s">
        <v>413</v>
      </c>
      <c r="D5" s="595">
        <f>+F5/E5</f>
        <v>5686.5794123638052</v>
      </c>
      <c r="E5" s="596">
        <v>8.2083440000000003</v>
      </c>
      <c r="F5" s="595">
        <v>46677.399999999965</v>
      </c>
      <c r="G5" s="597"/>
      <c r="H5" s="589"/>
    </row>
    <row r="6" spans="1:8" ht="12.75" customHeight="1" x14ac:dyDescent="0.2">
      <c r="A6" s="589"/>
      <c r="B6" s="589"/>
      <c r="C6" s="598" t="s">
        <v>318</v>
      </c>
      <c r="D6" s="599">
        <f>SUM(D5:D5)</f>
        <v>5686.5794123638052</v>
      </c>
      <c r="E6" s="589"/>
      <c r="F6" s="599">
        <f>SUM(F5:F5)</f>
        <v>46677.399999999965</v>
      </c>
      <c r="G6" s="589"/>
      <c r="H6" s="589"/>
    </row>
    <row r="7" spans="1:8" ht="12.75" customHeight="1" x14ac:dyDescent="0.2"/>
    <row r="8" spans="1:8" ht="36.75" customHeight="1" x14ac:dyDescent="0.2">
      <c r="A8" s="589"/>
      <c r="B8" s="591" t="s">
        <v>407</v>
      </c>
      <c r="C8" s="592" t="s">
        <v>408</v>
      </c>
      <c r="D8" s="592" t="s">
        <v>409</v>
      </c>
      <c r="E8" s="591" t="s">
        <v>410</v>
      </c>
      <c r="F8" s="592" t="s">
        <v>411</v>
      </c>
      <c r="H8" s="589"/>
    </row>
    <row r="9" spans="1:8" ht="12.75" customHeight="1" x14ac:dyDescent="0.2">
      <c r="A9" s="589"/>
      <c r="B9" s="600" t="s">
        <v>16</v>
      </c>
      <c r="C9" s="975" t="s">
        <v>413</v>
      </c>
      <c r="D9" s="603">
        <f>+F9/E9</f>
        <v>2491.2284377945175</v>
      </c>
      <c r="E9" s="977">
        <f>E5</f>
        <v>8.2083440000000003</v>
      </c>
      <c r="F9" s="604">
        <v>20448.86</v>
      </c>
      <c r="H9" s="589"/>
    </row>
    <row r="10" spans="1:8" ht="12.75" customHeight="1" x14ac:dyDescent="0.2">
      <c r="A10" s="589"/>
      <c r="B10" s="600" t="s">
        <v>466</v>
      </c>
      <c r="C10" s="976"/>
      <c r="D10" s="603">
        <f>F10/$E$9</f>
        <v>1512.2977302120851</v>
      </c>
      <c r="E10" s="978"/>
      <c r="F10" s="604">
        <v>12413.459999999988</v>
      </c>
      <c r="H10" s="589"/>
    </row>
    <row r="11" spans="1:8" ht="12.75" customHeight="1" x14ac:dyDescent="0.2">
      <c r="A11" s="589"/>
      <c r="B11" s="589"/>
      <c r="C11" s="598" t="s">
        <v>318</v>
      </c>
      <c r="D11" s="599">
        <f>SUM(D9:D10)</f>
        <v>4003.5261680066023</v>
      </c>
      <c r="E11" s="589"/>
      <c r="F11" s="599">
        <f>SUM(F9:F10)</f>
        <v>32862.319999999992</v>
      </c>
      <c r="H11" s="589"/>
    </row>
    <row r="12" spans="1:8" ht="12.75" customHeight="1" x14ac:dyDescent="0.2">
      <c r="A12" s="589"/>
      <c r="B12" s="589"/>
      <c r="C12" s="601"/>
      <c r="D12" s="602"/>
      <c r="E12" s="589"/>
      <c r="F12" s="602"/>
      <c r="H12" s="589"/>
    </row>
    <row r="13" spans="1:8" ht="36.75" customHeight="1" x14ac:dyDescent="0.2">
      <c r="A13" s="589"/>
      <c r="B13" s="591" t="s">
        <v>407</v>
      </c>
      <c r="C13" s="592" t="s">
        <v>408</v>
      </c>
      <c r="D13" s="592" t="s">
        <v>409</v>
      </c>
      <c r="E13" s="591" t="s">
        <v>410</v>
      </c>
      <c r="F13" s="592" t="s">
        <v>411</v>
      </c>
      <c r="H13" s="589"/>
    </row>
    <row r="14" spans="1:8" ht="12.75" customHeight="1" x14ac:dyDescent="0.2">
      <c r="A14" s="589"/>
      <c r="B14" s="600" t="s">
        <v>461</v>
      </c>
      <c r="C14" s="973" t="s">
        <v>413</v>
      </c>
      <c r="D14" s="603">
        <f>+F14/E14</f>
        <v>7503.6791830361872</v>
      </c>
      <c r="E14" s="972">
        <f>E9</f>
        <v>8.2083440000000003</v>
      </c>
      <c r="F14" s="604">
        <v>61592.779999999992</v>
      </c>
      <c r="H14" s="589"/>
    </row>
    <row r="15" spans="1:8" ht="12.75" customHeight="1" x14ac:dyDescent="0.2">
      <c r="A15" s="589"/>
      <c r="B15" s="600" t="s">
        <v>462</v>
      </c>
      <c r="C15" s="974"/>
      <c r="D15" s="603">
        <f>F15/$E$9</f>
        <v>3758.3049638270522</v>
      </c>
      <c r="E15" s="972"/>
      <c r="F15" s="604">
        <v>30849.460000000003</v>
      </c>
      <c r="H15" s="589"/>
    </row>
    <row r="16" spans="1:8" ht="12.75" customHeight="1" x14ac:dyDescent="0.2">
      <c r="A16" s="589"/>
      <c r="B16" s="589"/>
      <c r="C16" s="598" t="s">
        <v>318</v>
      </c>
      <c r="D16" s="599">
        <f>SUM(D14:D15)</f>
        <v>11261.98414686324</v>
      </c>
      <c r="E16" s="589"/>
      <c r="F16" s="599">
        <f>SUM(F14:F15)</f>
        <v>92442.239999999991</v>
      </c>
      <c r="H16" s="589"/>
    </row>
    <row r="17" spans="1:9" ht="12.75" customHeight="1" x14ac:dyDescent="0.2">
      <c r="A17" s="589"/>
      <c r="B17" s="589"/>
      <c r="C17" s="589"/>
      <c r="D17" s="589"/>
      <c r="E17" s="589"/>
      <c r="F17" s="597"/>
      <c r="H17" s="589"/>
      <c r="I17" s="589"/>
    </row>
    <row r="18" spans="1:9" ht="38.25" customHeight="1" x14ac:dyDescent="0.2">
      <c r="A18" s="589"/>
      <c r="B18" s="591" t="s">
        <v>407</v>
      </c>
      <c r="C18" s="592" t="s">
        <v>408</v>
      </c>
      <c r="D18" s="592" t="s">
        <v>409</v>
      </c>
      <c r="E18" s="591" t="s">
        <v>410</v>
      </c>
      <c r="F18" s="592" t="s">
        <v>411</v>
      </c>
      <c r="H18" s="589"/>
      <c r="I18" s="589"/>
    </row>
    <row r="19" spans="1:9" ht="15" customHeight="1" x14ac:dyDescent="0.2">
      <c r="A19" s="589"/>
      <c r="B19" s="605" t="s">
        <v>495</v>
      </c>
      <c r="C19" s="979" t="s">
        <v>413</v>
      </c>
      <c r="D19" s="769">
        <f>+F19/E19</f>
        <v>0</v>
      </c>
      <c r="E19" s="981">
        <f>E9</f>
        <v>8.2083440000000003</v>
      </c>
      <c r="F19" s="604">
        <v>0</v>
      </c>
      <c r="H19" s="589"/>
      <c r="I19" s="589"/>
    </row>
    <row r="20" spans="1:9" ht="12.75" x14ac:dyDescent="0.2">
      <c r="A20" s="589"/>
      <c r="B20" s="605" t="s">
        <v>412</v>
      </c>
      <c r="C20" s="980"/>
      <c r="D20" s="769">
        <f>+F20/E19</f>
        <v>938.92751083531573</v>
      </c>
      <c r="E20" s="982"/>
      <c r="F20" s="604">
        <v>7707.0399999999991</v>
      </c>
      <c r="H20" s="589"/>
      <c r="I20" s="589"/>
    </row>
    <row r="21" spans="1:9" ht="12.75" customHeight="1" x14ac:dyDescent="0.2">
      <c r="A21" s="589"/>
      <c r="B21" s="605" t="s">
        <v>465</v>
      </c>
      <c r="C21" s="968"/>
      <c r="D21" s="603">
        <f>F21/$E$19</f>
        <v>868.64902348147211</v>
      </c>
      <c r="E21" s="983"/>
      <c r="F21" s="604">
        <v>7130.170000000001</v>
      </c>
      <c r="H21" s="589"/>
      <c r="I21" s="589"/>
    </row>
    <row r="22" spans="1:9" ht="12.75" customHeight="1" x14ac:dyDescent="0.2">
      <c r="A22" s="589"/>
      <c r="B22" s="589" t="s">
        <v>302</v>
      </c>
      <c r="C22" s="598" t="s">
        <v>318</v>
      </c>
      <c r="D22" s="599">
        <f>SUM(D19:D21)</f>
        <v>1807.5765343167877</v>
      </c>
      <c r="E22" s="589"/>
      <c r="F22" s="599">
        <f>SUM(F19:F21)</f>
        <v>14837.21</v>
      </c>
      <c r="H22" s="589"/>
      <c r="I22" s="589"/>
    </row>
    <row r="23" spans="1:9" ht="12.75" customHeight="1" x14ac:dyDescent="0.2">
      <c r="A23" s="589"/>
      <c r="B23" s="589"/>
      <c r="C23" s="589"/>
      <c r="D23" s="589"/>
      <c r="E23" s="589"/>
      <c r="F23" s="589"/>
      <c r="H23" s="589"/>
      <c r="I23" s="589"/>
    </row>
    <row r="24" spans="1:9" ht="36.75" customHeight="1" x14ac:dyDescent="0.2">
      <c r="B24" s="591" t="s">
        <v>407</v>
      </c>
      <c r="C24" s="592" t="s">
        <v>408</v>
      </c>
      <c r="D24" s="592" t="s">
        <v>409</v>
      </c>
      <c r="E24" s="592" t="s">
        <v>410</v>
      </c>
      <c r="F24" s="592" t="s">
        <v>411</v>
      </c>
      <c r="G24" s="589"/>
      <c r="H24" s="589"/>
      <c r="I24" s="589"/>
    </row>
    <row r="25" spans="1:9" ht="12.75" x14ac:dyDescent="0.2">
      <c r="B25" s="593" t="s">
        <v>513</v>
      </c>
      <c r="C25" s="967" t="s">
        <v>413</v>
      </c>
      <c r="D25" s="595">
        <f>+F25/E25</f>
        <v>0</v>
      </c>
      <c r="E25" s="969">
        <f>E19</f>
        <v>8.2083440000000003</v>
      </c>
      <c r="F25" s="595">
        <v>0</v>
      </c>
      <c r="G25" s="589"/>
      <c r="H25" s="589"/>
      <c r="I25" s="589"/>
    </row>
    <row r="26" spans="1:9" ht="12.75" customHeight="1" x14ac:dyDescent="0.2">
      <c r="B26" s="593" t="s">
        <v>536</v>
      </c>
      <c r="C26" s="968"/>
      <c r="D26" s="595">
        <f>F26/$E$25</f>
        <v>0</v>
      </c>
      <c r="E26" s="970"/>
      <c r="F26" s="595">
        <v>0</v>
      </c>
      <c r="G26" s="597"/>
      <c r="H26" s="589"/>
      <c r="I26" s="589"/>
    </row>
    <row r="27" spans="1:9" ht="12.75" customHeight="1" x14ac:dyDescent="0.2">
      <c r="B27" s="589"/>
      <c r="C27" s="598" t="s">
        <v>318</v>
      </c>
      <c r="D27" s="599">
        <f>SUM(D25:D26)</f>
        <v>0</v>
      </c>
      <c r="E27" s="589"/>
      <c r="F27" s="599">
        <f>SUM(F25:F26)</f>
        <v>0</v>
      </c>
      <c r="G27" s="589"/>
      <c r="H27" s="589"/>
      <c r="I27" s="589"/>
    </row>
    <row r="28" spans="1:9" ht="12.75" customHeight="1" x14ac:dyDescent="0.2">
      <c r="A28" s="589"/>
      <c r="B28" s="589"/>
      <c r="C28" s="589"/>
      <c r="D28" s="589"/>
      <c r="E28" s="589"/>
      <c r="G28" s="589"/>
      <c r="H28" s="589"/>
      <c r="I28" s="589"/>
    </row>
    <row r="29" spans="1:9" ht="12.75" customHeight="1" x14ac:dyDescent="0.2">
      <c r="A29" s="589"/>
      <c r="B29" s="589"/>
      <c r="C29" s="589"/>
      <c r="D29" s="530"/>
      <c r="E29" s="589"/>
      <c r="F29" s="589"/>
      <c r="G29" s="589"/>
      <c r="H29" s="589"/>
      <c r="I29" s="589"/>
    </row>
    <row r="30" spans="1:9" ht="12.75" customHeight="1" x14ac:dyDescent="0.2">
      <c r="B30" s="589"/>
      <c r="C30" s="598" t="s">
        <v>414</v>
      </c>
      <c r="D30" s="606">
        <f>D6+D22+D11+D16+D27</f>
        <v>22759.666261550436</v>
      </c>
      <c r="E30" s="589"/>
      <c r="F30" s="598">
        <f>F6+F22+F11+F16+F27</f>
        <v>186819.16999999995</v>
      </c>
      <c r="G30" s="607"/>
      <c r="H30" s="589"/>
      <c r="I30" s="530">
        <f>+'REPORTE COBRANZA N'!F54</f>
        <v>186819.16999999995</v>
      </c>
    </row>
    <row r="31" spans="1:9" ht="12.75" customHeight="1" x14ac:dyDescent="0.2">
      <c r="A31" s="589"/>
      <c r="B31" s="589"/>
      <c r="C31" s="609"/>
      <c r="D31" s="589"/>
      <c r="E31" s="589"/>
      <c r="F31" s="608"/>
      <c r="G31" s="589"/>
      <c r="H31" s="589"/>
      <c r="I31" s="589"/>
    </row>
    <row r="32" spans="1:9" s="611" customFormat="1" ht="15" customHeight="1" x14ac:dyDescent="0.25">
      <c r="I32" s="610"/>
    </row>
  </sheetData>
  <mergeCells count="9">
    <mergeCell ref="C25:C26"/>
    <mergeCell ref="E25:E26"/>
    <mergeCell ref="A2:H2"/>
    <mergeCell ref="E14:E15"/>
    <mergeCell ref="C14:C15"/>
    <mergeCell ref="C9:C10"/>
    <mergeCell ref="E9:E10"/>
    <mergeCell ref="C19:C21"/>
    <mergeCell ref="E19:E21"/>
  </mergeCells>
  <pageMargins left="0.70866141732283461" right="0.70866141732283461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BF87-250B-4DBC-9FE3-E1E664FE6AD3}">
  <sheetPr>
    <pageSetUpPr fitToPage="1"/>
  </sheetPr>
  <dimension ref="A1:S44"/>
  <sheetViews>
    <sheetView showGridLines="0" view="pageBreakPreview" topLeftCell="A23" zoomScaleNormal="100" zoomScaleSheetLayoutView="100" workbookViewId="0">
      <selection activeCell="J39" sqref="J39:K39"/>
    </sheetView>
  </sheetViews>
  <sheetFormatPr baseColWidth="10" defaultRowHeight="15" x14ac:dyDescent="0.25"/>
  <cols>
    <col min="2" max="2" width="9.5703125" style="639" bestFit="1" customWidth="1"/>
    <col min="3" max="3" width="11.5703125" customWidth="1"/>
    <col min="4" max="4" width="16.5703125" bestFit="1" customWidth="1"/>
    <col min="5" max="5" width="30.7109375" customWidth="1"/>
    <col min="6" max="6" width="12.5703125" customWidth="1"/>
    <col min="7" max="7" width="12" bestFit="1" customWidth="1"/>
    <col min="8" max="8" width="11.7109375" style="639" customWidth="1"/>
    <col min="9" max="9" width="12.85546875" bestFit="1" customWidth="1"/>
    <col min="10" max="10" width="11.85546875" bestFit="1" customWidth="1"/>
    <col min="11" max="11" width="11.5703125" customWidth="1"/>
    <col min="12" max="12" width="13.85546875" customWidth="1"/>
    <col min="13" max="13" width="9.42578125" bestFit="1" customWidth="1"/>
    <col min="14" max="14" width="8.7109375" bestFit="1" customWidth="1"/>
    <col min="15" max="15" width="10.85546875" bestFit="1" customWidth="1"/>
    <col min="16" max="16" width="3" customWidth="1"/>
    <col min="18" max="18" width="17.5703125" bestFit="1" customWidth="1"/>
    <col min="19" max="20" width="18.28515625" bestFit="1" customWidth="1"/>
  </cols>
  <sheetData>
    <row r="1" spans="1:19" ht="15.75" x14ac:dyDescent="0.25">
      <c r="B1" s="985" t="s">
        <v>25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</row>
    <row r="2" spans="1:19" ht="15.75" customHeight="1" x14ac:dyDescent="0.25">
      <c r="A2" s="994" t="s">
        <v>1037</v>
      </c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994"/>
      <c r="M2" s="994"/>
    </row>
    <row r="3" spans="1:19" ht="24" x14ac:dyDescent="0.25">
      <c r="A3" s="636" t="s">
        <v>470</v>
      </c>
      <c r="B3" s="636" t="s">
        <v>415</v>
      </c>
      <c r="C3" s="636" t="s">
        <v>386</v>
      </c>
      <c r="D3" s="636" t="s">
        <v>522</v>
      </c>
      <c r="E3" s="636" t="s">
        <v>523</v>
      </c>
      <c r="F3" s="637" t="s">
        <v>524</v>
      </c>
      <c r="G3" s="637" t="s">
        <v>525</v>
      </c>
      <c r="H3" s="637" t="s">
        <v>526</v>
      </c>
      <c r="I3" s="637" t="s">
        <v>527</v>
      </c>
      <c r="J3" s="637" t="s">
        <v>528</v>
      </c>
      <c r="K3" s="637" t="s">
        <v>88</v>
      </c>
      <c r="L3" s="637" t="s">
        <v>435</v>
      </c>
      <c r="M3" s="637" t="s">
        <v>439</v>
      </c>
    </row>
    <row r="4" spans="1:19" x14ac:dyDescent="0.25">
      <c r="A4" s="540">
        <v>1</v>
      </c>
      <c r="B4" s="478" t="s">
        <v>413</v>
      </c>
      <c r="C4" s="478"/>
      <c r="D4" s="587"/>
      <c r="E4" s="479"/>
      <c r="F4" s="582"/>
      <c r="G4" s="583"/>
      <c r="H4" s="584"/>
      <c r="I4" s="585"/>
      <c r="J4" s="534"/>
      <c r="K4" s="534"/>
      <c r="L4" s="581"/>
      <c r="M4" s="586" t="s">
        <v>966</v>
      </c>
    </row>
    <row r="5" spans="1:19" x14ac:dyDescent="0.25">
      <c r="A5" s="540"/>
      <c r="B5" s="478"/>
      <c r="C5" s="478"/>
      <c r="D5" s="587"/>
      <c r="E5" s="479"/>
      <c r="F5" s="582"/>
      <c r="G5" s="583"/>
      <c r="H5" s="584"/>
      <c r="I5" s="585"/>
      <c r="J5" s="534"/>
      <c r="K5" s="534"/>
      <c r="L5" s="581"/>
      <c r="M5" s="586"/>
    </row>
    <row r="6" spans="1:19" x14ac:dyDescent="0.25">
      <c r="B6"/>
      <c r="H6"/>
      <c r="J6" s="988" t="s">
        <v>471</v>
      </c>
      <c r="K6" s="989"/>
      <c r="L6" s="542">
        <f>SUM(J4:J5)</f>
        <v>0</v>
      </c>
      <c r="M6" s="459"/>
      <c r="N6" s="458"/>
      <c r="O6" s="385"/>
    </row>
    <row r="7" spans="1:19" x14ac:dyDescent="0.25">
      <c r="B7"/>
      <c r="H7"/>
      <c r="J7" s="990" t="s">
        <v>472</v>
      </c>
      <c r="K7" s="991"/>
      <c r="L7" s="543">
        <f>L6*16%</f>
        <v>0</v>
      </c>
      <c r="M7" s="151"/>
      <c r="N7" s="384"/>
      <c r="O7" s="384"/>
      <c r="P7" s="384"/>
      <c r="Q7" s="385"/>
    </row>
    <row r="8" spans="1:19" x14ac:dyDescent="0.25">
      <c r="B8"/>
      <c r="H8"/>
      <c r="J8" s="992" t="s">
        <v>473</v>
      </c>
      <c r="K8" s="993"/>
      <c r="L8" s="542">
        <f>SUM(L6:L7)</f>
        <v>0</v>
      </c>
      <c r="M8" s="151"/>
      <c r="N8" s="638"/>
      <c r="O8" s="638"/>
      <c r="P8" s="638"/>
      <c r="Q8" s="770">
        <f>+'REPORTE COBRANZA N'!F46</f>
        <v>0</v>
      </c>
    </row>
    <row r="9" spans="1:19" x14ac:dyDescent="0.25">
      <c r="B9"/>
      <c r="H9"/>
    </row>
    <row r="10" spans="1:19" x14ac:dyDescent="0.25">
      <c r="A10" s="986" t="s">
        <v>1036</v>
      </c>
      <c r="B10" s="986"/>
      <c r="C10" s="986"/>
      <c r="D10" s="986"/>
      <c r="E10" s="986"/>
      <c r="F10" s="986"/>
      <c r="G10" s="986"/>
      <c r="H10" s="986"/>
      <c r="I10" s="986"/>
      <c r="J10" s="986"/>
      <c r="K10" s="986"/>
      <c r="L10" s="986"/>
      <c r="M10" s="986"/>
      <c r="N10" s="986"/>
      <c r="O10" s="987"/>
      <c r="P10" s="151"/>
      <c r="Q10" s="639"/>
    </row>
    <row r="11" spans="1:19" ht="24" x14ac:dyDescent="0.25">
      <c r="A11" s="636" t="s">
        <v>470</v>
      </c>
      <c r="B11" s="636" t="s">
        <v>415</v>
      </c>
      <c r="C11" s="636" t="s">
        <v>386</v>
      </c>
      <c r="D11" s="636" t="s">
        <v>522</v>
      </c>
      <c r="E11" s="637" t="s">
        <v>437</v>
      </c>
      <c r="F11" s="637" t="s">
        <v>440</v>
      </c>
      <c r="G11" s="636" t="s">
        <v>401</v>
      </c>
      <c r="H11" s="636" t="s">
        <v>432</v>
      </c>
      <c r="I11" s="637" t="s">
        <v>88</v>
      </c>
      <c r="J11" s="637" t="s">
        <v>433</v>
      </c>
      <c r="K11" s="637" t="s">
        <v>434</v>
      </c>
      <c r="L11" s="637" t="s">
        <v>435</v>
      </c>
      <c r="M11" s="637" t="s">
        <v>439</v>
      </c>
      <c r="N11" s="637" t="s">
        <v>436</v>
      </c>
      <c r="O11" s="637" t="s">
        <v>438</v>
      </c>
      <c r="P11" s="151"/>
      <c r="Q11" s="639"/>
    </row>
    <row r="12" spans="1:19" x14ac:dyDescent="0.25">
      <c r="A12" s="540">
        <v>1</v>
      </c>
      <c r="B12" s="478" t="s">
        <v>413</v>
      </c>
      <c r="C12" s="478" t="s">
        <v>602</v>
      </c>
      <c r="D12" s="587">
        <v>45474</v>
      </c>
      <c r="E12" s="534" t="s">
        <v>1376</v>
      </c>
      <c r="F12" s="586" t="s">
        <v>441</v>
      </c>
      <c r="G12" s="532" t="s">
        <v>1381</v>
      </c>
      <c r="H12" s="479">
        <v>800</v>
      </c>
      <c r="I12" s="479">
        <v>128</v>
      </c>
      <c r="J12" s="480">
        <v>0</v>
      </c>
      <c r="K12" s="480">
        <v>0</v>
      </c>
      <c r="L12" s="481">
        <v>928</v>
      </c>
      <c r="M12" s="792" t="s">
        <v>1020</v>
      </c>
      <c r="N12" s="533">
        <v>568637</v>
      </c>
      <c r="O12" s="482">
        <v>45511</v>
      </c>
      <c r="R12" s="789" t="s">
        <v>439</v>
      </c>
      <c r="S12" t="s">
        <v>1020</v>
      </c>
    </row>
    <row r="13" spans="1:19" x14ac:dyDescent="0.25">
      <c r="A13" s="540">
        <v>2</v>
      </c>
      <c r="B13" s="478" t="s">
        <v>413</v>
      </c>
      <c r="C13" s="478" t="s">
        <v>567</v>
      </c>
      <c r="D13" s="587">
        <v>45474</v>
      </c>
      <c r="E13" s="534" t="s">
        <v>1377</v>
      </c>
      <c r="F13" s="586" t="s">
        <v>441</v>
      </c>
      <c r="G13" s="532" t="s">
        <v>1382</v>
      </c>
      <c r="H13" s="479">
        <v>800</v>
      </c>
      <c r="I13" s="479">
        <v>128</v>
      </c>
      <c r="J13" s="480">
        <v>0</v>
      </c>
      <c r="K13" s="480">
        <v>0</v>
      </c>
      <c r="L13" s="481">
        <v>928</v>
      </c>
      <c r="M13" s="792" t="s">
        <v>1020</v>
      </c>
      <c r="N13" s="533">
        <v>568079</v>
      </c>
      <c r="O13" s="482">
        <v>45511</v>
      </c>
    </row>
    <row r="14" spans="1:19" x14ac:dyDescent="0.25">
      <c r="A14" s="540">
        <v>3</v>
      </c>
      <c r="B14" s="478" t="s">
        <v>413</v>
      </c>
      <c r="C14" s="478" t="s">
        <v>551</v>
      </c>
      <c r="D14" s="587">
        <v>45474</v>
      </c>
      <c r="E14" s="534" t="s">
        <v>1027</v>
      </c>
      <c r="F14" s="586" t="s">
        <v>441</v>
      </c>
      <c r="G14" s="532" t="s">
        <v>1383</v>
      </c>
      <c r="H14" s="479">
        <v>1443</v>
      </c>
      <c r="I14" s="479">
        <v>0</v>
      </c>
      <c r="J14" s="480">
        <v>0</v>
      </c>
      <c r="K14" s="480">
        <v>0</v>
      </c>
      <c r="L14" s="481">
        <v>1443</v>
      </c>
      <c r="M14" s="792" t="s">
        <v>1020</v>
      </c>
      <c r="N14" s="533">
        <v>568587</v>
      </c>
      <c r="O14" s="482">
        <v>45511</v>
      </c>
      <c r="R14" s="789" t="s">
        <v>1010</v>
      </c>
      <c r="S14" t="s">
        <v>1011</v>
      </c>
    </row>
    <row r="15" spans="1:19" x14ac:dyDescent="0.25">
      <c r="A15" s="540">
        <v>4</v>
      </c>
      <c r="B15" s="478" t="s">
        <v>413</v>
      </c>
      <c r="C15" s="478" t="s">
        <v>1375</v>
      </c>
      <c r="D15" s="587">
        <v>45474</v>
      </c>
      <c r="E15" s="534" t="s">
        <v>1378</v>
      </c>
      <c r="F15" s="586" t="s">
        <v>441</v>
      </c>
      <c r="G15" s="532" t="s">
        <v>1384</v>
      </c>
      <c r="H15" s="479">
        <v>600</v>
      </c>
      <c r="I15" s="479">
        <v>96</v>
      </c>
      <c r="J15" s="480">
        <v>0</v>
      </c>
      <c r="K15" s="480">
        <v>0</v>
      </c>
      <c r="L15" s="481">
        <v>696</v>
      </c>
      <c r="M15" s="792" t="s">
        <v>1020</v>
      </c>
      <c r="N15" s="533">
        <v>568757</v>
      </c>
      <c r="O15" s="482">
        <v>45511</v>
      </c>
      <c r="R15" s="800" t="s">
        <v>441</v>
      </c>
      <c r="S15">
        <v>6644</v>
      </c>
    </row>
    <row r="16" spans="1:19" x14ac:dyDescent="0.25">
      <c r="A16" s="540">
        <v>5</v>
      </c>
      <c r="B16" s="478" t="s">
        <v>413</v>
      </c>
      <c r="C16" s="478" t="s">
        <v>580</v>
      </c>
      <c r="D16" s="587">
        <v>45474</v>
      </c>
      <c r="E16" s="534" t="s">
        <v>1378</v>
      </c>
      <c r="F16" s="586" t="s">
        <v>441</v>
      </c>
      <c r="G16" s="532" t="s">
        <v>1384</v>
      </c>
      <c r="H16" s="479">
        <v>600</v>
      </c>
      <c r="I16" s="479">
        <v>96</v>
      </c>
      <c r="J16" s="480">
        <v>0</v>
      </c>
      <c r="K16" s="480">
        <v>0</v>
      </c>
      <c r="L16" s="481">
        <v>696</v>
      </c>
      <c r="M16" s="792" t="s">
        <v>1020</v>
      </c>
      <c r="N16" s="533">
        <v>568757</v>
      </c>
      <c r="O16" s="482">
        <v>45511</v>
      </c>
      <c r="R16" s="800" t="s">
        <v>456</v>
      </c>
      <c r="S16">
        <v>6644</v>
      </c>
    </row>
    <row r="17" spans="1:18" x14ac:dyDescent="0.25">
      <c r="A17" s="540">
        <v>6</v>
      </c>
      <c r="B17" s="478" t="s">
        <v>413</v>
      </c>
      <c r="C17" s="478" t="s">
        <v>547</v>
      </c>
      <c r="D17" s="587">
        <v>45474</v>
      </c>
      <c r="E17" s="534" t="s">
        <v>1379</v>
      </c>
      <c r="F17" s="586" t="s">
        <v>441</v>
      </c>
      <c r="G17" s="532" t="s">
        <v>1385</v>
      </c>
      <c r="H17" s="479">
        <v>75</v>
      </c>
      <c r="I17" s="479">
        <v>12</v>
      </c>
      <c r="J17" s="480">
        <v>8</v>
      </c>
      <c r="K17" s="480">
        <v>7.5</v>
      </c>
      <c r="L17" s="481">
        <v>71.5</v>
      </c>
      <c r="M17" s="792" t="s">
        <v>1020</v>
      </c>
      <c r="N17" s="533">
        <v>567772</v>
      </c>
      <c r="O17" s="482">
        <v>45511</v>
      </c>
    </row>
    <row r="18" spans="1:18" x14ac:dyDescent="0.25">
      <c r="A18" s="540">
        <v>7</v>
      </c>
      <c r="B18" s="478" t="s">
        <v>413</v>
      </c>
      <c r="C18" s="478" t="s">
        <v>1375</v>
      </c>
      <c r="D18" s="587">
        <v>45474</v>
      </c>
      <c r="E18" s="534" t="s">
        <v>1379</v>
      </c>
      <c r="F18" s="586" t="s">
        <v>441</v>
      </c>
      <c r="G18" s="532" t="s">
        <v>1385</v>
      </c>
      <c r="H18" s="479">
        <v>75</v>
      </c>
      <c r="I18" s="479">
        <v>12</v>
      </c>
      <c r="J18" s="480">
        <v>8</v>
      </c>
      <c r="K18" s="480">
        <v>7.5</v>
      </c>
      <c r="L18" s="481">
        <v>71.5</v>
      </c>
      <c r="M18" s="792" t="s">
        <v>1020</v>
      </c>
      <c r="N18" s="533">
        <v>567772</v>
      </c>
      <c r="O18" s="482">
        <v>45511</v>
      </c>
    </row>
    <row r="19" spans="1:18" x14ac:dyDescent="0.25">
      <c r="A19" s="540">
        <v>8</v>
      </c>
      <c r="B19" s="478" t="s">
        <v>413</v>
      </c>
      <c r="C19" s="478" t="s">
        <v>602</v>
      </c>
      <c r="D19" s="587">
        <v>45474</v>
      </c>
      <c r="E19" s="534" t="s">
        <v>1027</v>
      </c>
      <c r="F19" s="586" t="s">
        <v>441</v>
      </c>
      <c r="G19" s="532" t="s">
        <v>1386</v>
      </c>
      <c r="H19" s="479">
        <v>251</v>
      </c>
      <c r="I19" s="479">
        <v>0</v>
      </c>
      <c r="J19" s="480">
        <v>0</v>
      </c>
      <c r="K19" s="480">
        <v>0</v>
      </c>
      <c r="L19" s="481">
        <v>251</v>
      </c>
      <c r="M19" s="792" t="s">
        <v>1020</v>
      </c>
      <c r="N19" s="533">
        <v>568279</v>
      </c>
      <c r="O19" s="482">
        <v>45511</v>
      </c>
    </row>
    <row r="20" spans="1:18" x14ac:dyDescent="0.25">
      <c r="A20" s="540">
        <v>9</v>
      </c>
      <c r="B20" s="478" t="s">
        <v>413</v>
      </c>
      <c r="C20" s="478" t="s">
        <v>1254</v>
      </c>
      <c r="D20" s="587">
        <v>45474</v>
      </c>
      <c r="E20" s="534" t="s">
        <v>1380</v>
      </c>
      <c r="F20" s="586" t="s">
        <v>441</v>
      </c>
      <c r="G20" s="532" t="s">
        <v>1387</v>
      </c>
      <c r="H20" s="479">
        <v>2000</v>
      </c>
      <c r="I20" s="479">
        <v>320</v>
      </c>
      <c r="J20" s="480">
        <v>0</v>
      </c>
      <c r="K20" s="480">
        <v>0</v>
      </c>
      <c r="L20" s="481">
        <v>2320</v>
      </c>
      <c r="M20" s="586" t="s">
        <v>1020</v>
      </c>
      <c r="N20" s="533">
        <v>568216</v>
      </c>
      <c r="O20" s="482">
        <v>45511</v>
      </c>
    </row>
    <row r="21" spans="1:18" x14ac:dyDescent="0.25">
      <c r="B21"/>
      <c r="H21"/>
      <c r="J21" s="988" t="s">
        <v>471</v>
      </c>
      <c r="K21" s="989"/>
      <c r="L21" s="541">
        <f>R22</f>
        <v>6644</v>
      </c>
      <c r="M21" s="459"/>
      <c r="N21" s="458"/>
      <c r="O21" s="385"/>
    </row>
    <row r="22" spans="1:18" x14ac:dyDescent="0.25">
      <c r="B22"/>
      <c r="H22"/>
      <c r="J22" s="990" t="s">
        <v>472</v>
      </c>
      <c r="K22" s="991"/>
      <c r="L22" s="543">
        <f>L21*16%</f>
        <v>1063.04</v>
      </c>
      <c r="M22" s="151"/>
      <c r="N22" s="384"/>
      <c r="O22" s="384"/>
      <c r="Q22" t="s">
        <v>966</v>
      </c>
      <c r="R22" s="20">
        <f>SUMIF(M12:M20,"autorizado",H12:H20)</f>
        <v>6644</v>
      </c>
    </row>
    <row r="23" spans="1:18" x14ac:dyDescent="0.25">
      <c r="B23"/>
      <c r="H23"/>
      <c r="J23" s="992" t="s">
        <v>473</v>
      </c>
      <c r="K23" s="993"/>
      <c r="L23" s="542">
        <f>SUM(L21:L22)</f>
        <v>7707.04</v>
      </c>
      <c r="M23" s="151"/>
      <c r="N23" s="638"/>
      <c r="O23" s="638"/>
      <c r="Q23" t="s">
        <v>965</v>
      </c>
      <c r="R23" s="773">
        <f>SUM(H12:H20)-R22</f>
        <v>0</v>
      </c>
    </row>
    <row r="24" spans="1:18" x14ac:dyDescent="0.25">
      <c r="B24"/>
      <c r="H24"/>
      <c r="L24" s="151"/>
      <c r="M24" s="151"/>
      <c r="N24" s="151"/>
      <c r="O24" s="151"/>
      <c r="Q24" s="20">
        <f>+'REPORTE COBRANZA N'!F49</f>
        <v>7707.0399999999991</v>
      </c>
      <c r="R24" s="773">
        <f>+L23-Q24</f>
        <v>0</v>
      </c>
    </row>
    <row r="25" spans="1:18" x14ac:dyDescent="0.25">
      <c r="B25"/>
      <c r="H25"/>
      <c r="L25" s="151"/>
      <c r="M25" s="151"/>
      <c r="N25" s="151"/>
      <c r="O25" s="151"/>
    </row>
    <row r="26" spans="1:18" ht="15.75" x14ac:dyDescent="0.25">
      <c r="A26" s="984" t="s">
        <v>1035</v>
      </c>
      <c r="B26" s="984"/>
      <c r="C26" s="984"/>
      <c r="D26" s="984"/>
      <c r="E26" s="984"/>
      <c r="F26" s="984"/>
      <c r="G26" s="984"/>
      <c r="H26" s="984"/>
      <c r="I26" s="984"/>
      <c r="J26" s="984"/>
    </row>
    <row r="27" spans="1:18" x14ac:dyDescent="0.25">
      <c r="A27" s="611"/>
      <c r="B27" s="611"/>
      <c r="C27" s="611"/>
      <c r="D27" s="611"/>
      <c r="E27" s="611"/>
      <c r="F27" s="611"/>
      <c r="G27" s="611"/>
      <c r="H27" s="611"/>
      <c r="I27" s="611"/>
      <c r="J27" s="611"/>
    </row>
    <row r="28" spans="1:18" ht="38.25" x14ac:dyDescent="0.25">
      <c r="A28" s="612" t="s">
        <v>1017</v>
      </c>
      <c r="B28" s="612" t="s">
        <v>445</v>
      </c>
      <c r="C28" s="612" t="s">
        <v>514</v>
      </c>
      <c r="D28" s="613" t="s">
        <v>515</v>
      </c>
      <c r="E28" s="613" t="s">
        <v>516</v>
      </c>
      <c r="F28" s="613" t="s">
        <v>447</v>
      </c>
      <c r="G28" s="613" t="s">
        <v>520</v>
      </c>
      <c r="H28" s="613" t="s">
        <v>517</v>
      </c>
      <c r="I28" s="613" t="s">
        <v>518</v>
      </c>
      <c r="J28" s="614" t="s">
        <v>519</v>
      </c>
    </row>
    <row r="29" spans="1:18" x14ac:dyDescent="0.25">
      <c r="A29" s="615"/>
      <c r="B29" s="615"/>
      <c r="C29" s="615"/>
      <c r="D29" s="616"/>
      <c r="E29" s="753"/>
      <c r="F29" s="616"/>
      <c r="G29" s="616"/>
      <c r="H29" s="783"/>
      <c r="I29" s="617"/>
      <c r="J29" s="616"/>
    </row>
    <row r="30" spans="1:18" x14ac:dyDescent="0.25">
      <c r="A30" s="615"/>
      <c r="B30" s="615"/>
      <c r="C30" s="615"/>
      <c r="D30" s="616"/>
      <c r="E30" s="753"/>
      <c r="F30" s="616"/>
      <c r="G30" s="616"/>
      <c r="H30" s="783"/>
      <c r="I30" s="617"/>
      <c r="J30" s="616"/>
    </row>
    <row r="31" spans="1:18" x14ac:dyDescent="0.25">
      <c r="A31" s="615"/>
      <c r="B31" s="615"/>
      <c r="C31" s="615"/>
      <c r="D31" s="616"/>
      <c r="E31" s="753"/>
      <c r="F31" s="616"/>
      <c r="G31" s="616"/>
      <c r="H31" s="783"/>
      <c r="I31" s="617"/>
      <c r="J31" s="616"/>
    </row>
    <row r="32" spans="1:18" x14ac:dyDescent="0.25">
      <c r="A32" s="618"/>
      <c r="B32" s="619"/>
      <c r="C32" s="620"/>
      <c r="D32" s="620"/>
      <c r="E32" s="620"/>
      <c r="F32" s="621"/>
      <c r="G32" s="622"/>
      <c r="H32" s="623"/>
      <c r="I32" s="793" t="s">
        <v>1018</v>
      </c>
      <c r="J32" s="795">
        <f>SUM(J29:J31)</f>
        <v>0</v>
      </c>
    </row>
    <row r="33" spans="1:18" x14ac:dyDescent="0.25">
      <c r="A33" s="618"/>
      <c r="B33" s="619"/>
      <c r="C33" s="620"/>
      <c r="D33" s="620"/>
      <c r="E33" s="618"/>
      <c r="F33" s="618"/>
      <c r="G33" s="618"/>
      <c r="H33" s="618"/>
      <c r="I33" s="794" t="s">
        <v>88</v>
      </c>
      <c r="J33" s="797">
        <f>+J32*0.16</f>
        <v>0</v>
      </c>
    </row>
    <row r="34" spans="1:18" x14ac:dyDescent="0.25">
      <c r="A34" s="618"/>
      <c r="B34" s="619"/>
      <c r="C34" s="620"/>
      <c r="D34" s="620"/>
      <c r="E34" s="760"/>
      <c r="F34" s="761"/>
      <c r="G34" s="761"/>
      <c r="H34" s="761"/>
      <c r="I34" s="794" t="s">
        <v>101</v>
      </c>
      <c r="J34" s="796">
        <f>+J32+J33</f>
        <v>0</v>
      </c>
      <c r="Q34" s="20">
        <f>+'REPORTE COBRANZA N'!D50</f>
        <v>0</v>
      </c>
      <c r="R34" s="19">
        <f>+J34-Q34</f>
        <v>0</v>
      </c>
    </row>
    <row r="35" spans="1:18" ht="9" customHeight="1" x14ac:dyDescent="0.25">
      <c r="A35" s="618"/>
      <c r="B35" s="619"/>
      <c r="C35" s="620"/>
      <c r="D35" s="620"/>
      <c r="E35" s="760"/>
      <c r="F35" s="761"/>
      <c r="G35" s="761"/>
      <c r="H35" s="761"/>
      <c r="I35" s="761"/>
      <c r="J35" s="762"/>
      <c r="Q35" s="774"/>
    </row>
    <row r="36" spans="1:18" ht="9" customHeight="1" x14ac:dyDescent="0.25"/>
    <row r="37" spans="1:18" ht="15.75" x14ac:dyDescent="0.25">
      <c r="A37" s="984" t="s">
        <v>535</v>
      </c>
      <c r="B37" s="984"/>
      <c r="C37" s="984"/>
      <c r="D37" s="984"/>
      <c r="E37" s="984"/>
      <c r="F37" s="984"/>
      <c r="G37" s="984"/>
      <c r="H37" s="984"/>
      <c r="I37" s="984"/>
      <c r="J37" s="984"/>
      <c r="K37" s="589"/>
    </row>
    <row r="38" spans="1:18" ht="6.75" customHeight="1" x14ac:dyDescent="0.25">
      <c r="A38" s="589"/>
      <c r="B38" s="589"/>
      <c r="C38" s="589"/>
      <c r="D38" s="589"/>
      <c r="E38" s="589"/>
      <c r="F38" s="589"/>
      <c r="G38" s="589"/>
      <c r="H38" s="589"/>
      <c r="I38" s="589"/>
      <c r="J38" s="589"/>
      <c r="K38" s="589"/>
    </row>
    <row r="39" spans="1:18" ht="24" x14ac:dyDescent="0.25">
      <c r="A39" s="725" t="s">
        <v>416</v>
      </c>
      <c r="B39" s="725" t="s">
        <v>529</v>
      </c>
      <c r="C39" s="725" t="s">
        <v>530</v>
      </c>
      <c r="D39" s="725" t="s">
        <v>531</v>
      </c>
      <c r="E39" s="725" t="s">
        <v>532</v>
      </c>
      <c r="F39" s="725" t="s">
        <v>533</v>
      </c>
      <c r="G39" s="725" t="s">
        <v>534</v>
      </c>
      <c r="H39" s="725" t="s">
        <v>88</v>
      </c>
      <c r="I39" s="725" t="s">
        <v>101</v>
      </c>
      <c r="J39" s="589"/>
      <c r="K39" s="589"/>
    </row>
    <row r="40" spans="1:18" x14ac:dyDescent="0.25">
      <c r="A40" s="728"/>
      <c r="B40" s="729"/>
      <c r="C40" s="751"/>
      <c r="D40" s="751"/>
      <c r="E40" s="751"/>
      <c r="F40" s="752"/>
      <c r="G40" s="751"/>
      <c r="H40" s="751"/>
      <c r="I40" s="751"/>
      <c r="J40" s="589"/>
      <c r="K40" s="589"/>
    </row>
    <row r="41" spans="1:18" x14ac:dyDescent="0.25">
      <c r="A41" s="728"/>
      <c r="B41" s="729"/>
      <c r="C41" s="751"/>
      <c r="D41" s="751"/>
      <c r="E41" s="751"/>
      <c r="F41" s="752"/>
      <c r="G41" s="751"/>
      <c r="H41" s="751"/>
      <c r="I41" s="751"/>
      <c r="J41" s="589"/>
      <c r="K41" s="589"/>
    </row>
    <row r="42" spans="1:18" x14ac:dyDescent="0.25">
      <c r="A42" s="728"/>
      <c r="B42" s="729"/>
      <c r="C42" s="751"/>
      <c r="D42" s="751"/>
      <c r="E42" s="751"/>
      <c r="F42" s="752"/>
      <c r="G42" s="751"/>
      <c r="H42" s="751"/>
      <c r="I42" s="751"/>
      <c r="J42" s="589"/>
      <c r="K42" s="589"/>
    </row>
    <row r="43" spans="1:18" x14ac:dyDescent="0.25">
      <c r="A43" s="589"/>
      <c r="B43" s="589"/>
      <c r="C43" s="589"/>
      <c r="D43" s="589"/>
      <c r="E43" s="589"/>
      <c r="F43" s="589"/>
      <c r="G43" s="589"/>
      <c r="H43" s="589"/>
      <c r="I43" s="750">
        <f>SUM(I40:I42)</f>
        <v>0</v>
      </c>
      <c r="J43" s="589"/>
      <c r="Q43" s="530">
        <f>+'REPORTE COBRANZA N'!F52</f>
        <v>0</v>
      </c>
      <c r="R43" s="19">
        <f>+I43-Q43</f>
        <v>0</v>
      </c>
    </row>
    <row r="44" spans="1:18" ht="5.25" customHeight="1" x14ac:dyDescent="0.25"/>
  </sheetData>
  <autoFilter ref="A11:O17" xr:uid="{6E92BF87-250B-4DBC-9FE3-E1E664FE6AD3}"/>
  <mergeCells count="11">
    <mergeCell ref="A26:J26"/>
    <mergeCell ref="A37:J37"/>
    <mergeCell ref="B1:O1"/>
    <mergeCell ref="A10:O10"/>
    <mergeCell ref="J21:K21"/>
    <mergeCell ref="J22:K22"/>
    <mergeCell ref="J23:K23"/>
    <mergeCell ref="J6:K6"/>
    <mergeCell ref="J7:K7"/>
    <mergeCell ref="J8:K8"/>
    <mergeCell ref="A2:M2"/>
  </mergeCells>
  <phoneticPr fontId="60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2:L29"/>
  <sheetViews>
    <sheetView showGridLines="0" view="pageBreakPreview" zoomScale="85" zoomScaleNormal="85" zoomScaleSheetLayoutView="85" workbookViewId="0">
      <selection activeCell="A3" sqref="A3"/>
    </sheetView>
  </sheetViews>
  <sheetFormatPr baseColWidth="10" defaultRowHeight="15" x14ac:dyDescent="0.25"/>
  <cols>
    <col min="2" max="2" width="15" bestFit="1" customWidth="1"/>
    <col min="3" max="3" width="14.5703125" bestFit="1" customWidth="1"/>
    <col min="5" max="5" width="14.28515625" customWidth="1"/>
    <col min="8" max="9" width="11.85546875" bestFit="1" customWidth="1"/>
  </cols>
  <sheetData>
    <row r="2" spans="1:12" ht="18.75" x14ac:dyDescent="0.3">
      <c r="A2" s="995" t="s">
        <v>1025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</row>
    <row r="4" spans="1:12" ht="17.25" customHeight="1" x14ac:dyDescent="0.25">
      <c r="A4" s="624" t="s">
        <v>380</v>
      </c>
      <c r="B4" s="625"/>
      <c r="C4" s="625"/>
    </row>
    <row r="5" spans="1:12" s="18" customFormat="1" ht="24" x14ac:dyDescent="0.25">
      <c r="A5" s="626" t="s">
        <v>72</v>
      </c>
      <c r="B5" s="627" t="s">
        <v>73</v>
      </c>
      <c r="C5" s="627" t="s">
        <v>74</v>
      </c>
      <c r="D5" s="627" t="s">
        <v>75</v>
      </c>
      <c r="E5" s="627" t="s">
        <v>76</v>
      </c>
      <c r="F5" s="627" t="s">
        <v>77</v>
      </c>
      <c r="G5" s="627" t="s">
        <v>78</v>
      </c>
      <c r="H5" s="627" t="s">
        <v>79</v>
      </c>
      <c r="I5" s="627" t="s">
        <v>80</v>
      </c>
      <c r="J5" s="627" t="s">
        <v>81</v>
      </c>
      <c r="K5" s="627" t="s">
        <v>82</v>
      </c>
      <c r="L5" s="628" t="s">
        <v>83</v>
      </c>
    </row>
    <row r="6" spans="1:12" x14ac:dyDescent="0.25">
      <c r="A6" t="s">
        <v>84</v>
      </c>
      <c r="B6" s="629">
        <v>10897</v>
      </c>
      <c r="C6" s="629">
        <v>3000000184358</v>
      </c>
      <c r="D6" s="630" t="s">
        <v>85</v>
      </c>
      <c r="E6" s="630" t="s">
        <v>2</v>
      </c>
      <c r="F6" s="631">
        <v>42808.568749999999</v>
      </c>
      <c r="G6" s="631">
        <v>42808.568749999999</v>
      </c>
      <c r="H6" s="632">
        <v>102518.24</v>
      </c>
      <c r="I6" s="632">
        <v>107575.99</v>
      </c>
      <c r="J6" s="632">
        <v>92967.18</v>
      </c>
      <c r="K6" s="632">
        <v>92967.18</v>
      </c>
      <c r="L6" s="632">
        <v>20887.21</v>
      </c>
    </row>
    <row r="7" spans="1:12" x14ac:dyDescent="0.25">
      <c r="A7" t="s">
        <v>84</v>
      </c>
      <c r="B7" s="629">
        <v>5816</v>
      </c>
      <c r="C7" s="629">
        <v>3000000184429</v>
      </c>
      <c r="D7" s="630" t="s">
        <v>85</v>
      </c>
      <c r="E7" s="630" t="s">
        <v>2</v>
      </c>
      <c r="F7" s="633">
        <v>42817.581944444442</v>
      </c>
      <c r="G7" s="633">
        <v>42817.581944444442</v>
      </c>
      <c r="H7" s="632">
        <v>68978.33</v>
      </c>
      <c r="I7" s="632">
        <v>72931.509999999995</v>
      </c>
      <c r="J7" s="632">
        <v>66494.62</v>
      </c>
      <c r="K7" s="632">
        <v>66494.62</v>
      </c>
      <c r="L7" s="632">
        <v>22577.73</v>
      </c>
    </row>
    <row r="8" spans="1:12" x14ac:dyDescent="0.25">
      <c r="B8" s="629"/>
      <c r="C8" s="629"/>
      <c r="D8" s="630"/>
      <c r="E8" s="630"/>
      <c r="F8" s="633"/>
      <c r="G8" s="633"/>
      <c r="H8" s="632"/>
      <c r="I8" s="632"/>
      <c r="J8" s="632"/>
      <c r="K8" s="632"/>
      <c r="L8" s="632"/>
    </row>
    <row r="9" spans="1:12" x14ac:dyDescent="0.25">
      <c r="A9" s="624" t="s">
        <v>383</v>
      </c>
      <c r="B9" s="629"/>
      <c r="C9" s="629"/>
      <c r="D9" s="630"/>
      <c r="E9" s="630"/>
      <c r="F9" s="633"/>
      <c r="G9" s="633"/>
      <c r="H9" s="632"/>
      <c r="I9" s="632"/>
      <c r="J9" s="632"/>
      <c r="K9" s="632"/>
      <c r="L9" s="632"/>
    </row>
    <row r="10" spans="1:12" s="18" customFormat="1" ht="24" x14ac:dyDescent="0.25">
      <c r="A10" s="626" t="s">
        <v>72</v>
      </c>
      <c r="B10" s="627" t="s">
        <v>73</v>
      </c>
      <c r="C10" s="627" t="s">
        <v>74</v>
      </c>
      <c r="D10" s="627" t="s">
        <v>75</v>
      </c>
      <c r="E10" s="627" t="s">
        <v>76</v>
      </c>
      <c r="F10" s="627" t="s">
        <v>77</v>
      </c>
      <c r="G10" s="627" t="s">
        <v>78</v>
      </c>
      <c r="H10" s="627" t="s">
        <v>79</v>
      </c>
      <c r="I10" s="627" t="s">
        <v>80</v>
      </c>
      <c r="J10" s="627" t="s">
        <v>81</v>
      </c>
      <c r="K10" s="627" t="s">
        <v>82</v>
      </c>
      <c r="L10" s="628" t="s">
        <v>83</v>
      </c>
    </row>
    <row r="11" spans="1:12" x14ac:dyDescent="0.25">
      <c r="A11" t="s">
        <v>84</v>
      </c>
      <c r="B11" s="629">
        <v>8430</v>
      </c>
      <c r="C11" s="629">
        <v>3000000183001</v>
      </c>
      <c r="D11" s="630" t="s">
        <v>85</v>
      </c>
      <c r="E11" s="630" t="s">
        <v>2</v>
      </c>
      <c r="F11" s="631">
        <v>42752</v>
      </c>
      <c r="G11" s="631">
        <v>42752</v>
      </c>
      <c r="H11" s="632">
        <v>30706.53</v>
      </c>
      <c r="I11" s="632">
        <v>43751.65</v>
      </c>
      <c r="J11" s="632">
        <v>49749.84</v>
      </c>
      <c r="K11" s="632">
        <v>49749.84</v>
      </c>
      <c r="L11" s="632">
        <v>38310.769999999997</v>
      </c>
    </row>
    <row r="12" spans="1:12" x14ac:dyDescent="0.25">
      <c r="J12" s="19"/>
    </row>
    <row r="13" spans="1:12" x14ac:dyDescent="0.25">
      <c r="A13" s="624" t="s">
        <v>382</v>
      </c>
      <c r="I13" s="19"/>
      <c r="J13" s="19"/>
    </row>
    <row r="14" spans="1:12" s="18" customFormat="1" ht="24" x14ac:dyDescent="0.25">
      <c r="A14" s="626" t="s">
        <v>72</v>
      </c>
      <c r="B14" s="627" t="s">
        <v>73</v>
      </c>
      <c r="C14" s="627" t="s">
        <v>74</v>
      </c>
      <c r="D14" s="627" t="s">
        <v>75</v>
      </c>
      <c r="E14" s="627" t="s">
        <v>76</v>
      </c>
      <c r="F14" s="627" t="s">
        <v>77</v>
      </c>
      <c r="G14" s="627" t="s">
        <v>78</v>
      </c>
      <c r="H14" s="627" t="s">
        <v>79</v>
      </c>
      <c r="I14" s="627" t="s">
        <v>80</v>
      </c>
      <c r="J14" s="627" t="s">
        <v>81</v>
      </c>
      <c r="K14" s="627" t="s">
        <v>82</v>
      </c>
      <c r="L14" s="628" t="s">
        <v>83</v>
      </c>
    </row>
    <row r="15" spans="1:12" x14ac:dyDescent="0.25">
      <c r="A15" t="s">
        <v>84</v>
      </c>
      <c r="B15" s="629">
        <v>8906</v>
      </c>
      <c r="C15" s="629">
        <v>3000000180766</v>
      </c>
      <c r="D15" s="630" t="s">
        <v>85</v>
      </c>
      <c r="E15" s="630" t="s">
        <v>2</v>
      </c>
      <c r="F15" s="631">
        <v>42647</v>
      </c>
      <c r="G15" s="631">
        <v>42644</v>
      </c>
      <c r="H15" s="632">
        <v>50129.55</v>
      </c>
      <c r="I15" s="632">
        <v>55315.55</v>
      </c>
      <c r="J15" s="632">
        <v>71952.63</v>
      </c>
      <c r="K15" s="632">
        <v>71952.63</v>
      </c>
      <c r="L15" s="632">
        <v>48539.12</v>
      </c>
    </row>
    <row r="17" spans="1:12" x14ac:dyDescent="0.25">
      <c r="A17" s="624" t="s">
        <v>381</v>
      </c>
    </row>
    <row r="18" spans="1:12" ht="24" x14ac:dyDescent="0.25">
      <c r="A18" s="626" t="s">
        <v>72</v>
      </c>
      <c r="B18" s="627" t="s">
        <v>73</v>
      </c>
      <c r="C18" s="627" t="s">
        <v>74</v>
      </c>
      <c r="D18" s="627" t="s">
        <v>75</v>
      </c>
      <c r="E18" s="627" t="s">
        <v>76</v>
      </c>
      <c r="F18" s="627" t="s">
        <v>77</v>
      </c>
      <c r="G18" s="627" t="s">
        <v>78</v>
      </c>
      <c r="H18" s="627" t="s">
        <v>79</v>
      </c>
      <c r="I18" s="627" t="s">
        <v>80</v>
      </c>
      <c r="J18" s="627" t="s">
        <v>81</v>
      </c>
      <c r="K18" s="627" t="s">
        <v>82</v>
      </c>
      <c r="L18" s="628" t="s">
        <v>83</v>
      </c>
    </row>
    <row r="19" spans="1:12" x14ac:dyDescent="0.25">
      <c r="A19" t="s">
        <v>84</v>
      </c>
      <c r="B19" s="629">
        <v>12181</v>
      </c>
      <c r="C19" s="629">
        <v>3000000179523</v>
      </c>
      <c r="D19" s="630" t="s">
        <v>85</v>
      </c>
      <c r="E19" s="630" t="s">
        <v>2</v>
      </c>
      <c r="F19" s="631">
        <v>42625</v>
      </c>
      <c r="G19" s="631">
        <v>42622</v>
      </c>
      <c r="H19" s="632">
        <v>57264.39</v>
      </c>
      <c r="I19" s="632">
        <v>60404.49</v>
      </c>
      <c r="J19" s="632">
        <v>49933.3</v>
      </c>
      <c r="K19" s="632">
        <v>49933.3</v>
      </c>
      <c r="L19" s="632">
        <v>14068.9</v>
      </c>
    </row>
    <row r="20" spans="1:12" x14ac:dyDescent="0.25">
      <c r="A20" t="s">
        <v>84</v>
      </c>
      <c r="B20" s="629">
        <v>9975</v>
      </c>
      <c r="C20" s="629">
        <v>3000000179961</v>
      </c>
      <c r="D20" s="630" t="s">
        <v>85</v>
      </c>
      <c r="E20" s="630" t="s">
        <v>2</v>
      </c>
      <c r="F20" s="633">
        <v>42636</v>
      </c>
      <c r="G20" s="633">
        <v>42634</v>
      </c>
      <c r="H20" s="632">
        <v>69880.94</v>
      </c>
      <c r="I20" s="632">
        <v>78368.75</v>
      </c>
      <c r="J20" s="632">
        <v>77471.37</v>
      </c>
      <c r="K20" s="632">
        <v>77471.37</v>
      </c>
      <c r="L20" s="632">
        <v>40792.449999999997</v>
      </c>
    </row>
    <row r="22" spans="1:12" x14ac:dyDescent="0.25">
      <c r="A22" s="624" t="s">
        <v>384</v>
      </c>
      <c r="B22" s="634"/>
      <c r="C22" s="634"/>
    </row>
    <row r="23" spans="1:12" s="18" customFormat="1" ht="24" x14ac:dyDescent="0.25">
      <c r="A23" s="626" t="s">
        <v>72</v>
      </c>
      <c r="B23" s="627" t="s">
        <v>73</v>
      </c>
      <c r="C23" s="627" t="s">
        <v>74</v>
      </c>
      <c r="D23" s="627" t="s">
        <v>75</v>
      </c>
      <c r="E23" s="627" t="s">
        <v>76</v>
      </c>
      <c r="F23" s="627" t="s">
        <v>77</v>
      </c>
      <c r="G23" s="627" t="s">
        <v>78</v>
      </c>
      <c r="H23" s="627" t="s">
        <v>79</v>
      </c>
      <c r="I23" s="627" t="s">
        <v>80</v>
      </c>
      <c r="J23" s="627" t="s">
        <v>81</v>
      </c>
      <c r="K23" s="627" t="s">
        <v>82</v>
      </c>
      <c r="L23" s="628" t="s">
        <v>83</v>
      </c>
    </row>
    <row r="24" spans="1:12" x14ac:dyDescent="0.25">
      <c r="A24" t="s">
        <v>84</v>
      </c>
      <c r="B24" s="629">
        <v>11250</v>
      </c>
      <c r="C24" s="629">
        <v>3000000179161</v>
      </c>
      <c r="D24" s="630" t="s">
        <v>85</v>
      </c>
      <c r="E24" s="630" t="s">
        <v>2</v>
      </c>
      <c r="F24" s="631">
        <v>42600</v>
      </c>
      <c r="G24" s="631">
        <v>42606</v>
      </c>
      <c r="H24" s="632">
        <v>92012.63</v>
      </c>
      <c r="I24" s="632">
        <v>92012.63</v>
      </c>
      <c r="J24" s="632">
        <v>94689.33</v>
      </c>
      <c r="K24" s="632">
        <v>94689.33</v>
      </c>
      <c r="L24" s="632">
        <v>0</v>
      </c>
    </row>
    <row r="26" spans="1:12" x14ac:dyDescent="0.25">
      <c r="A26" s="624" t="s">
        <v>385</v>
      </c>
      <c r="B26" s="635"/>
      <c r="C26" s="635"/>
    </row>
    <row r="27" spans="1:12" s="18" customFormat="1" ht="24" x14ac:dyDescent="0.25">
      <c r="A27" s="626" t="s">
        <v>72</v>
      </c>
      <c r="B27" s="627" t="s">
        <v>73</v>
      </c>
      <c r="C27" s="627" t="s">
        <v>74</v>
      </c>
      <c r="D27" s="627" t="s">
        <v>75</v>
      </c>
      <c r="E27" s="627" t="s">
        <v>76</v>
      </c>
      <c r="F27" s="627" t="s">
        <v>77</v>
      </c>
      <c r="G27" s="627" t="s">
        <v>78</v>
      </c>
      <c r="H27" s="627" t="s">
        <v>79</v>
      </c>
      <c r="I27" s="627" t="s">
        <v>80</v>
      </c>
      <c r="J27" s="627" t="s">
        <v>81</v>
      </c>
      <c r="K27" s="627" t="s">
        <v>82</v>
      </c>
      <c r="L27" s="628" t="s">
        <v>83</v>
      </c>
    </row>
    <row r="28" spans="1:12" x14ac:dyDescent="0.25">
      <c r="A28" t="s">
        <v>84</v>
      </c>
      <c r="B28" s="629">
        <v>8902</v>
      </c>
      <c r="C28" s="629">
        <v>3000000177128</v>
      </c>
      <c r="D28" s="630" t="s">
        <v>85</v>
      </c>
      <c r="E28" s="630" t="s">
        <v>2</v>
      </c>
      <c r="F28" s="631">
        <v>42514</v>
      </c>
      <c r="G28" s="631">
        <v>42506</v>
      </c>
      <c r="H28" s="632">
        <v>50660.17</v>
      </c>
      <c r="I28" s="632">
        <v>53420.51</v>
      </c>
      <c r="J28" s="632">
        <v>52297.27</v>
      </c>
      <c r="K28" s="632">
        <v>52297.27</v>
      </c>
      <c r="L28" s="632">
        <v>24050.22</v>
      </c>
    </row>
    <row r="29" spans="1:12" x14ac:dyDescent="0.25">
      <c r="B29" s="629"/>
      <c r="C29" s="629"/>
      <c r="D29" s="630"/>
      <c r="E29" s="630"/>
      <c r="F29" s="631"/>
      <c r="G29" s="631"/>
      <c r="H29" s="632"/>
      <c r="I29" s="632"/>
      <c r="J29" s="632"/>
      <c r="K29" s="632"/>
      <c r="L29" s="632"/>
    </row>
  </sheetData>
  <mergeCells count="1">
    <mergeCell ref="A2:L2"/>
  </mergeCell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B1:G232"/>
  <sheetViews>
    <sheetView showGridLines="0" view="pageBreakPreview" zoomScale="106" zoomScaleNormal="85" zoomScaleSheetLayoutView="106" workbookViewId="0">
      <pane ySplit="3" topLeftCell="A201" activePane="bottomLeft" state="frozen"/>
      <selection activeCell="D75" sqref="D75:D78"/>
      <selection pane="bottomLeft" activeCell="C232" sqref="C232"/>
    </sheetView>
  </sheetViews>
  <sheetFormatPr baseColWidth="10" defaultColWidth="9.140625" defaultRowHeight="12.75" x14ac:dyDescent="0.2"/>
  <cols>
    <col min="1" max="1" width="9.140625" style="640"/>
    <col min="2" max="2" width="20.42578125" style="640" bestFit="1" customWidth="1"/>
    <col min="3" max="3" width="26.140625" style="640" bestFit="1" customWidth="1"/>
    <col min="4" max="4" width="7.85546875" style="659" customWidth="1"/>
    <col min="5" max="5" width="9.7109375" style="640" customWidth="1"/>
    <col min="6" max="6" width="6.85546875" style="659" customWidth="1"/>
    <col min="7" max="7" width="12.140625" style="640" customWidth="1"/>
    <col min="8" max="14" width="11.42578125" style="640" customWidth="1"/>
    <col min="15" max="17" width="0" style="640" hidden="1" customWidth="1"/>
    <col min="18" max="257" width="9.140625" style="640"/>
    <col min="258" max="258" width="47" style="640" customWidth="1"/>
    <col min="259" max="259" width="34.42578125" style="640" customWidth="1"/>
    <col min="260" max="260" width="13.140625" style="640" customWidth="1"/>
    <col min="261" max="261" width="10.140625" style="640" customWidth="1"/>
    <col min="262" max="262" width="13.42578125" style="640" customWidth="1"/>
    <col min="263" max="263" width="17.85546875" style="640" customWidth="1"/>
    <col min="264" max="270" width="11.42578125" style="640" customWidth="1"/>
    <col min="271" max="273" width="0" style="640" hidden="1" customWidth="1"/>
    <col min="274" max="513" width="9.140625" style="640"/>
    <col min="514" max="514" width="47" style="640" customWidth="1"/>
    <col min="515" max="515" width="34.42578125" style="640" customWidth="1"/>
    <col min="516" max="516" width="13.140625" style="640" customWidth="1"/>
    <col min="517" max="517" width="10.140625" style="640" customWidth="1"/>
    <col min="518" max="518" width="13.42578125" style="640" customWidth="1"/>
    <col min="519" max="519" width="17.85546875" style="640" customWidth="1"/>
    <col min="520" max="526" width="11.42578125" style="640" customWidth="1"/>
    <col min="527" max="529" width="0" style="640" hidden="1" customWidth="1"/>
    <col min="530" max="769" width="9.140625" style="640"/>
    <col min="770" max="770" width="47" style="640" customWidth="1"/>
    <col min="771" max="771" width="34.42578125" style="640" customWidth="1"/>
    <col min="772" max="772" width="13.140625" style="640" customWidth="1"/>
    <col min="773" max="773" width="10.140625" style="640" customWidth="1"/>
    <col min="774" max="774" width="13.42578125" style="640" customWidth="1"/>
    <col min="775" max="775" width="17.85546875" style="640" customWidth="1"/>
    <col min="776" max="782" width="11.42578125" style="640" customWidth="1"/>
    <col min="783" max="785" width="0" style="640" hidden="1" customWidth="1"/>
    <col min="786" max="1025" width="9.140625" style="640"/>
    <col min="1026" max="1026" width="47" style="640" customWidth="1"/>
    <col min="1027" max="1027" width="34.42578125" style="640" customWidth="1"/>
    <col min="1028" max="1028" width="13.140625" style="640" customWidth="1"/>
    <col min="1029" max="1029" width="10.140625" style="640" customWidth="1"/>
    <col min="1030" max="1030" width="13.42578125" style="640" customWidth="1"/>
    <col min="1031" max="1031" width="17.85546875" style="640" customWidth="1"/>
    <col min="1032" max="1038" width="11.42578125" style="640" customWidth="1"/>
    <col min="1039" max="1041" width="0" style="640" hidden="1" customWidth="1"/>
    <col min="1042" max="1281" width="9.140625" style="640"/>
    <col min="1282" max="1282" width="47" style="640" customWidth="1"/>
    <col min="1283" max="1283" width="34.42578125" style="640" customWidth="1"/>
    <col min="1284" max="1284" width="13.140625" style="640" customWidth="1"/>
    <col min="1285" max="1285" width="10.140625" style="640" customWidth="1"/>
    <col min="1286" max="1286" width="13.42578125" style="640" customWidth="1"/>
    <col min="1287" max="1287" width="17.85546875" style="640" customWidth="1"/>
    <col min="1288" max="1294" width="11.42578125" style="640" customWidth="1"/>
    <col min="1295" max="1297" width="0" style="640" hidden="1" customWidth="1"/>
    <col min="1298" max="1537" width="9.140625" style="640"/>
    <col min="1538" max="1538" width="47" style="640" customWidth="1"/>
    <col min="1539" max="1539" width="34.42578125" style="640" customWidth="1"/>
    <col min="1540" max="1540" width="13.140625" style="640" customWidth="1"/>
    <col min="1541" max="1541" width="10.140625" style="640" customWidth="1"/>
    <col min="1542" max="1542" width="13.42578125" style="640" customWidth="1"/>
    <col min="1543" max="1543" width="17.85546875" style="640" customWidth="1"/>
    <col min="1544" max="1550" width="11.42578125" style="640" customWidth="1"/>
    <col min="1551" max="1553" width="0" style="640" hidden="1" customWidth="1"/>
    <col min="1554" max="1793" width="9.140625" style="640"/>
    <col min="1794" max="1794" width="47" style="640" customWidth="1"/>
    <col min="1795" max="1795" width="34.42578125" style="640" customWidth="1"/>
    <col min="1796" max="1796" width="13.140625" style="640" customWidth="1"/>
    <col min="1797" max="1797" width="10.140625" style="640" customWidth="1"/>
    <col min="1798" max="1798" width="13.42578125" style="640" customWidth="1"/>
    <col min="1799" max="1799" width="17.85546875" style="640" customWidth="1"/>
    <col min="1800" max="1806" width="11.42578125" style="640" customWidth="1"/>
    <col min="1807" max="1809" width="0" style="640" hidden="1" customWidth="1"/>
    <col min="1810" max="2049" width="9.140625" style="640"/>
    <col min="2050" max="2050" width="47" style="640" customWidth="1"/>
    <col min="2051" max="2051" width="34.42578125" style="640" customWidth="1"/>
    <col min="2052" max="2052" width="13.140625" style="640" customWidth="1"/>
    <col min="2053" max="2053" width="10.140625" style="640" customWidth="1"/>
    <col min="2054" max="2054" width="13.42578125" style="640" customWidth="1"/>
    <col min="2055" max="2055" width="17.85546875" style="640" customWidth="1"/>
    <col min="2056" max="2062" width="11.42578125" style="640" customWidth="1"/>
    <col min="2063" max="2065" width="0" style="640" hidden="1" customWidth="1"/>
    <col min="2066" max="2305" width="9.140625" style="640"/>
    <col min="2306" max="2306" width="47" style="640" customWidth="1"/>
    <col min="2307" max="2307" width="34.42578125" style="640" customWidth="1"/>
    <col min="2308" max="2308" width="13.140625" style="640" customWidth="1"/>
    <col min="2309" max="2309" width="10.140625" style="640" customWidth="1"/>
    <col min="2310" max="2310" width="13.42578125" style="640" customWidth="1"/>
    <col min="2311" max="2311" width="17.85546875" style="640" customWidth="1"/>
    <col min="2312" max="2318" width="11.42578125" style="640" customWidth="1"/>
    <col min="2319" max="2321" width="0" style="640" hidden="1" customWidth="1"/>
    <col min="2322" max="2561" width="9.140625" style="640"/>
    <col min="2562" max="2562" width="47" style="640" customWidth="1"/>
    <col min="2563" max="2563" width="34.42578125" style="640" customWidth="1"/>
    <col min="2564" max="2564" width="13.140625" style="640" customWidth="1"/>
    <col min="2565" max="2565" width="10.140625" style="640" customWidth="1"/>
    <col min="2566" max="2566" width="13.42578125" style="640" customWidth="1"/>
    <col min="2567" max="2567" width="17.85546875" style="640" customWidth="1"/>
    <col min="2568" max="2574" width="11.42578125" style="640" customWidth="1"/>
    <col min="2575" max="2577" width="0" style="640" hidden="1" customWidth="1"/>
    <col min="2578" max="2817" width="9.140625" style="640"/>
    <col min="2818" max="2818" width="47" style="640" customWidth="1"/>
    <col min="2819" max="2819" width="34.42578125" style="640" customWidth="1"/>
    <col min="2820" max="2820" width="13.140625" style="640" customWidth="1"/>
    <col min="2821" max="2821" width="10.140625" style="640" customWidth="1"/>
    <col min="2822" max="2822" width="13.42578125" style="640" customWidth="1"/>
    <col min="2823" max="2823" width="17.85546875" style="640" customWidth="1"/>
    <col min="2824" max="2830" width="11.42578125" style="640" customWidth="1"/>
    <col min="2831" max="2833" width="0" style="640" hidden="1" customWidth="1"/>
    <col min="2834" max="3073" width="9.140625" style="640"/>
    <col min="3074" max="3074" width="47" style="640" customWidth="1"/>
    <col min="3075" max="3075" width="34.42578125" style="640" customWidth="1"/>
    <col min="3076" max="3076" width="13.140625" style="640" customWidth="1"/>
    <col min="3077" max="3077" width="10.140625" style="640" customWidth="1"/>
    <col min="3078" max="3078" width="13.42578125" style="640" customWidth="1"/>
    <col min="3079" max="3079" width="17.85546875" style="640" customWidth="1"/>
    <col min="3080" max="3086" width="11.42578125" style="640" customWidth="1"/>
    <col min="3087" max="3089" width="0" style="640" hidden="1" customWidth="1"/>
    <col min="3090" max="3329" width="9.140625" style="640"/>
    <col min="3330" max="3330" width="47" style="640" customWidth="1"/>
    <col min="3331" max="3331" width="34.42578125" style="640" customWidth="1"/>
    <col min="3332" max="3332" width="13.140625" style="640" customWidth="1"/>
    <col min="3333" max="3333" width="10.140625" style="640" customWidth="1"/>
    <col min="3334" max="3334" width="13.42578125" style="640" customWidth="1"/>
    <col min="3335" max="3335" width="17.85546875" style="640" customWidth="1"/>
    <col min="3336" max="3342" width="11.42578125" style="640" customWidth="1"/>
    <col min="3343" max="3345" width="0" style="640" hidden="1" customWidth="1"/>
    <col min="3346" max="3585" width="9.140625" style="640"/>
    <col min="3586" max="3586" width="47" style="640" customWidth="1"/>
    <col min="3587" max="3587" width="34.42578125" style="640" customWidth="1"/>
    <col min="3588" max="3588" width="13.140625" style="640" customWidth="1"/>
    <col min="3589" max="3589" width="10.140625" style="640" customWidth="1"/>
    <col min="3590" max="3590" width="13.42578125" style="640" customWidth="1"/>
    <col min="3591" max="3591" width="17.85546875" style="640" customWidth="1"/>
    <col min="3592" max="3598" width="11.42578125" style="640" customWidth="1"/>
    <col min="3599" max="3601" width="0" style="640" hidden="1" customWidth="1"/>
    <col min="3602" max="3841" width="9.140625" style="640"/>
    <col min="3842" max="3842" width="47" style="640" customWidth="1"/>
    <col min="3843" max="3843" width="34.42578125" style="640" customWidth="1"/>
    <col min="3844" max="3844" width="13.140625" style="640" customWidth="1"/>
    <col min="3845" max="3845" width="10.140625" style="640" customWidth="1"/>
    <col min="3846" max="3846" width="13.42578125" style="640" customWidth="1"/>
    <col min="3847" max="3847" width="17.85546875" style="640" customWidth="1"/>
    <col min="3848" max="3854" width="11.42578125" style="640" customWidth="1"/>
    <col min="3855" max="3857" width="0" style="640" hidden="1" customWidth="1"/>
    <col min="3858" max="4097" width="9.140625" style="640"/>
    <col min="4098" max="4098" width="47" style="640" customWidth="1"/>
    <col min="4099" max="4099" width="34.42578125" style="640" customWidth="1"/>
    <col min="4100" max="4100" width="13.140625" style="640" customWidth="1"/>
    <col min="4101" max="4101" width="10.140625" style="640" customWidth="1"/>
    <col min="4102" max="4102" width="13.42578125" style="640" customWidth="1"/>
    <col min="4103" max="4103" width="17.85546875" style="640" customWidth="1"/>
    <col min="4104" max="4110" width="11.42578125" style="640" customWidth="1"/>
    <col min="4111" max="4113" width="0" style="640" hidden="1" customWidth="1"/>
    <col min="4114" max="4353" width="9.140625" style="640"/>
    <col min="4354" max="4354" width="47" style="640" customWidth="1"/>
    <col min="4355" max="4355" width="34.42578125" style="640" customWidth="1"/>
    <col min="4356" max="4356" width="13.140625" style="640" customWidth="1"/>
    <col min="4357" max="4357" width="10.140625" style="640" customWidth="1"/>
    <col min="4358" max="4358" width="13.42578125" style="640" customWidth="1"/>
    <col min="4359" max="4359" width="17.85546875" style="640" customWidth="1"/>
    <col min="4360" max="4366" width="11.42578125" style="640" customWidth="1"/>
    <col min="4367" max="4369" width="0" style="640" hidden="1" customWidth="1"/>
    <col min="4370" max="4609" width="9.140625" style="640"/>
    <col min="4610" max="4610" width="47" style="640" customWidth="1"/>
    <col min="4611" max="4611" width="34.42578125" style="640" customWidth="1"/>
    <col min="4612" max="4612" width="13.140625" style="640" customWidth="1"/>
    <col min="4613" max="4613" width="10.140625" style="640" customWidth="1"/>
    <col min="4614" max="4614" width="13.42578125" style="640" customWidth="1"/>
    <col min="4615" max="4615" width="17.85546875" style="640" customWidth="1"/>
    <col min="4616" max="4622" width="11.42578125" style="640" customWidth="1"/>
    <col min="4623" max="4625" width="0" style="640" hidden="1" customWidth="1"/>
    <col min="4626" max="4865" width="9.140625" style="640"/>
    <col min="4866" max="4866" width="47" style="640" customWidth="1"/>
    <col min="4867" max="4867" width="34.42578125" style="640" customWidth="1"/>
    <col min="4868" max="4868" width="13.140625" style="640" customWidth="1"/>
    <col min="4869" max="4869" width="10.140625" style="640" customWidth="1"/>
    <col min="4870" max="4870" width="13.42578125" style="640" customWidth="1"/>
    <col min="4871" max="4871" width="17.85546875" style="640" customWidth="1"/>
    <col min="4872" max="4878" width="11.42578125" style="640" customWidth="1"/>
    <col min="4879" max="4881" width="0" style="640" hidden="1" customWidth="1"/>
    <col min="4882" max="5121" width="9.140625" style="640"/>
    <col min="5122" max="5122" width="47" style="640" customWidth="1"/>
    <col min="5123" max="5123" width="34.42578125" style="640" customWidth="1"/>
    <col min="5124" max="5124" width="13.140625" style="640" customWidth="1"/>
    <col min="5125" max="5125" width="10.140625" style="640" customWidth="1"/>
    <col min="5126" max="5126" width="13.42578125" style="640" customWidth="1"/>
    <col min="5127" max="5127" width="17.85546875" style="640" customWidth="1"/>
    <col min="5128" max="5134" width="11.42578125" style="640" customWidth="1"/>
    <col min="5135" max="5137" width="0" style="640" hidden="1" customWidth="1"/>
    <col min="5138" max="5377" width="9.140625" style="640"/>
    <col min="5378" max="5378" width="47" style="640" customWidth="1"/>
    <col min="5379" max="5379" width="34.42578125" style="640" customWidth="1"/>
    <col min="5380" max="5380" width="13.140625" style="640" customWidth="1"/>
    <col min="5381" max="5381" width="10.140625" style="640" customWidth="1"/>
    <col min="5382" max="5382" width="13.42578125" style="640" customWidth="1"/>
    <col min="5383" max="5383" width="17.85546875" style="640" customWidth="1"/>
    <col min="5384" max="5390" width="11.42578125" style="640" customWidth="1"/>
    <col min="5391" max="5393" width="0" style="640" hidden="1" customWidth="1"/>
    <col min="5394" max="5633" width="9.140625" style="640"/>
    <col min="5634" max="5634" width="47" style="640" customWidth="1"/>
    <col min="5635" max="5635" width="34.42578125" style="640" customWidth="1"/>
    <col min="5636" max="5636" width="13.140625" style="640" customWidth="1"/>
    <col min="5637" max="5637" width="10.140625" style="640" customWidth="1"/>
    <col min="5638" max="5638" width="13.42578125" style="640" customWidth="1"/>
    <col min="5639" max="5639" width="17.85546875" style="640" customWidth="1"/>
    <col min="5640" max="5646" width="11.42578125" style="640" customWidth="1"/>
    <col min="5647" max="5649" width="0" style="640" hidden="1" customWidth="1"/>
    <col min="5650" max="5889" width="9.140625" style="640"/>
    <col min="5890" max="5890" width="47" style="640" customWidth="1"/>
    <col min="5891" max="5891" width="34.42578125" style="640" customWidth="1"/>
    <col min="5892" max="5892" width="13.140625" style="640" customWidth="1"/>
    <col min="5893" max="5893" width="10.140625" style="640" customWidth="1"/>
    <col min="5894" max="5894" width="13.42578125" style="640" customWidth="1"/>
    <col min="5895" max="5895" width="17.85546875" style="640" customWidth="1"/>
    <col min="5896" max="5902" width="11.42578125" style="640" customWidth="1"/>
    <col min="5903" max="5905" width="0" style="640" hidden="1" customWidth="1"/>
    <col min="5906" max="6145" width="9.140625" style="640"/>
    <col min="6146" max="6146" width="47" style="640" customWidth="1"/>
    <col min="6147" max="6147" width="34.42578125" style="640" customWidth="1"/>
    <col min="6148" max="6148" width="13.140625" style="640" customWidth="1"/>
    <col min="6149" max="6149" width="10.140625" style="640" customWidth="1"/>
    <col min="6150" max="6150" width="13.42578125" style="640" customWidth="1"/>
    <col min="6151" max="6151" width="17.85546875" style="640" customWidth="1"/>
    <col min="6152" max="6158" width="11.42578125" style="640" customWidth="1"/>
    <col min="6159" max="6161" width="0" style="640" hidden="1" customWidth="1"/>
    <col min="6162" max="6401" width="9.140625" style="640"/>
    <col min="6402" max="6402" width="47" style="640" customWidth="1"/>
    <col min="6403" max="6403" width="34.42578125" style="640" customWidth="1"/>
    <col min="6404" max="6404" width="13.140625" style="640" customWidth="1"/>
    <col min="6405" max="6405" width="10.140625" style="640" customWidth="1"/>
    <col min="6406" max="6406" width="13.42578125" style="640" customWidth="1"/>
    <col min="6407" max="6407" width="17.85546875" style="640" customWidth="1"/>
    <col min="6408" max="6414" width="11.42578125" style="640" customWidth="1"/>
    <col min="6415" max="6417" width="0" style="640" hidden="1" customWidth="1"/>
    <col min="6418" max="6657" width="9.140625" style="640"/>
    <col min="6658" max="6658" width="47" style="640" customWidth="1"/>
    <col min="6659" max="6659" width="34.42578125" style="640" customWidth="1"/>
    <col min="6660" max="6660" width="13.140625" style="640" customWidth="1"/>
    <col min="6661" max="6661" width="10.140625" style="640" customWidth="1"/>
    <col min="6662" max="6662" width="13.42578125" style="640" customWidth="1"/>
    <col min="6663" max="6663" width="17.85546875" style="640" customWidth="1"/>
    <col min="6664" max="6670" width="11.42578125" style="640" customWidth="1"/>
    <col min="6671" max="6673" width="0" style="640" hidden="1" customWidth="1"/>
    <col min="6674" max="6913" width="9.140625" style="640"/>
    <col min="6914" max="6914" width="47" style="640" customWidth="1"/>
    <col min="6915" max="6915" width="34.42578125" style="640" customWidth="1"/>
    <col min="6916" max="6916" width="13.140625" style="640" customWidth="1"/>
    <col min="6917" max="6917" width="10.140625" style="640" customWidth="1"/>
    <col min="6918" max="6918" width="13.42578125" style="640" customWidth="1"/>
    <col min="6919" max="6919" width="17.85546875" style="640" customWidth="1"/>
    <col min="6920" max="6926" width="11.42578125" style="640" customWidth="1"/>
    <col min="6927" max="6929" width="0" style="640" hidden="1" customWidth="1"/>
    <col min="6930" max="7169" width="9.140625" style="640"/>
    <col min="7170" max="7170" width="47" style="640" customWidth="1"/>
    <col min="7171" max="7171" width="34.42578125" style="640" customWidth="1"/>
    <col min="7172" max="7172" width="13.140625" style="640" customWidth="1"/>
    <col min="7173" max="7173" width="10.140625" style="640" customWidth="1"/>
    <col min="7174" max="7174" width="13.42578125" style="640" customWidth="1"/>
    <col min="7175" max="7175" width="17.85546875" style="640" customWidth="1"/>
    <col min="7176" max="7182" width="11.42578125" style="640" customWidth="1"/>
    <col min="7183" max="7185" width="0" style="640" hidden="1" customWidth="1"/>
    <col min="7186" max="7425" width="9.140625" style="640"/>
    <col min="7426" max="7426" width="47" style="640" customWidth="1"/>
    <col min="7427" max="7427" width="34.42578125" style="640" customWidth="1"/>
    <col min="7428" max="7428" width="13.140625" style="640" customWidth="1"/>
    <col min="7429" max="7429" width="10.140625" style="640" customWidth="1"/>
    <col min="7430" max="7430" width="13.42578125" style="640" customWidth="1"/>
    <col min="7431" max="7431" width="17.85546875" style="640" customWidth="1"/>
    <col min="7432" max="7438" width="11.42578125" style="640" customWidth="1"/>
    <col min="7439" max="7441" width="0" style="640" hidden="1" customWidth="1"/>
    <col min="7442" max="7681" width="9.140625" style="640"/>
    <col min="7682" max="7682" width="47" style="640" customWidth="1"/>
    <col min="7683" max="7683" width="34.42578125" style="640" customWidth="1"/>
    <col min="7684" max="7684" width="13.140625" style="640" customWidth="1"/>
    <col min="7685" max="7685" width="10.140625" style="640" customWidth="1"/>
    <col min="7686" max="7686" width="13.42578125" style="640" customWidth="1"/>
    <col min="7687" max="7687" width="17.85546875" style="640" customWidth="1"/>
    <col min="7688" max="7694" width="11.42578125" style="640" customWidth="1"/>
    <col min="7695" max="7697" width="0" style="640" hidden="1" customWidth="1"/>
    <col min="7698" max="7937" width="9.140625" style="640"/>
    <col min="7938" max="7938" width="47" style="640" customWidth="1"/>
    <col min="7939" max="7939" width="34.42578125" style="640" customWidth="1"/>
    <col min="7940" max="7940" width="13.140625" style="640" customWidth="1"/>
    <col min="7941" max="7941" width="10.140625" style="640" customWidth="1"/>
    <col min="7942" max="7942" width="13.42578125" style="640" customWidth="1"/>
    <col min="7943" max="7943" width="17.85546875" style="640" customWidth="1"/>
    <col min="7944" max="7950" width="11.42578125" style="640" customWidth="1"/>
    <col min="7951" max="7953" width="0" style="640" hidden="1" customWidth="1"/>
    <col min="7954" max="8193" width="9.140625" style="640"/>
    <col min="8194" max="8194" width="47" style="640" customWidth="1"/>
    <col min="8195" max="8195" width="34.42578125" style="640" customWidth="1"/>
    <col min="8196" max="8196" width="13.140625" style="640" customWidth="1"/>
    <col min="8197" max="8197" width="10.140625" style="640" customWidth="1"/>
    <col min="8198" max="8198" width="13.42578125" style="640" customWidth="1"/>
    <col min="8199" max="8199" width="17.85546875" style="640" customWidth="1"/>
    <col min="8200" max="8206" width="11.42578125" style="640" customWidth="1"/>
    <col min="8207" max="8209" width="0" style="640" hidden="1" customWidth="1"/>
    <col min="8210" max="8449" width="9.140625" style="640"/>
    <col min="8450" max="8450" width="47" style="640" customWidth="1"/>
    <col min="8451" max="8451" width="34.42578125" style="640" customWidth="1"/>
    <col min="8452" max="8452" width="13.140625" style="640" customWidth="1"/>
    <col min="8453" max="8453" width="10.140625" style="640" customWidth="1"/>
    <col min="8454" max="8454" width="13.42578125" style="640" customWidth="1"/>
    <col min="8455" max="8455" width="17.85546875" style="640" customWidth="1"/>
    <col min="8456" max="8462" width="11.42578125" style="640" customWidth="1"/>
    <col min="8463" max="8465" width="0" style="640" hidden="1" customWidth="1"/>
    <col min="8466" max="8705" width="9.140625" style="640"/>
    <col min="8706" max="8706" width="47" style="640" customWidth="1"/>
    <col min="8707" max="8707" width="34.42578125" style="640" customWidth="1"/>
    <col min="8708" max="8708" width="13.140625" style="640" customWidth="1"/>
    <col min="8709" max="8709" width="10.140625" style="640" customWidth="1"/>
    <col min="8710" max="8710" width="13.42578125" style="640" customWidth="1"/>
    <col min="8711" max="8711" width="17.85546875" style="640" customWidth="1"/>
    <col min="8712" max="8718" width="11.42578125" style="640" customWidth="1"/>
    <col min="8719" max="8721" width="0" style="640" hidden="1" customWidth="1"/>
    <col min="8722" max="8961" width="9.140625" style="640"/>
    <col min="8962" max="8962" width="47" style="640" customWidth="1"/>
    <col min="8963" max="8963" width="34.42578125" style="640" customWidth="1"/>
    <col min="8964" max="8964" width="13.140625" style="640" customWidth="1"/>
    <col min="8965" max="8965" width="10.140625" style="640" customWidth="1"/>
    <col min="8966" max="8966" width="13.42578125" style="640" customWidth="1"/>
    <col min="8967" max="8967" width="17.85546875" style="640" customWidth="1"/>
    <col min="8968" max="8974" width="11.42578125" style="640" customWidth="1"/>
    <col min="8975" max="8977" width="0" style="640" hidden="1" customWidth="1"/>
    <col min="8978" max="9217" width="9.140625" style="640"/>
    <col min="9218" max="9218" width="47" style="640" customWidth="1"/>
    <col min="9219" max="9219" width="34.42578125" style="640" customWidth="1"/>
    <col min="9220" max="9220" width="13.140625" style="640" customWidth="1"/>
    <col min="9221" max="9221" width="10.140625" style="640" customWidth="1"/>
    <col min="9222" max="9222" width="13.42578125" style="640" customWidth="1"/>
    <col min="9223" max="9223" width="17.85546875" style="640" customWidth="1"/>
    <col min="9224" max="9230" width="11.42578125" style="640" customWidth="1"/>
    <col min="9231" max="9233" width="0" style="640" hidden="1" customWidth="1"/>
    <col min="9234" max="9473" width="9.140625" style="640"/>
    <col min="9474" max="9474" width="47" style="640" customWidth="1"/>
    <col min="9475" max="9475" width="34.42578125" style="640" customWidth="1"/>
    <col min="9476" max="9476" width="13.140625" style="640" customWidth="1"/>
    <col min="9477" max="9477" width="10.140625" style="640" customWidth="1"/>
    <col min="9478" max="9478" width="13.42578125" style="640" customWidth="1"/>
    <col min="9479" max="9479" width="17.85546875" style="640" customWidth="1"/>
    <col min="9480" max="9486" width="11.42578125" style="640" customWidth="1"/>
    <col min="9487" max="9489" width="0" style="640" hidden="1" customWidth="1"/>
    <col min="9490" max="9729" width="9.140625" style="640"/>
    <col min="9730" max="9730" width="47" style="640" customWidth="1"/>
    <col min="9731" max="9731" width="34.42578125" style="640" customWidth="1"/>
    <col min="9732" max="9732" width="13.140625" style="640" customWidth="1"/>
    <col min="9733" max="9733" width="10.140625" style="640" customWidth="1"/>
    <col min="9734" max="9734" width="13.42578125" style="640" customWidth="1"/>
    <col min="9735" max="9735" width="17.85546875" style="640" customWidth="1"/>
    <col min="9736" max="9742" width="11.42578125" style="640" customWidth="1"/>
    <col min="9743" max="9745" width="0" style="640" hidden="1" customWidth="1"/>
    <col min="9746" max="9985" width="9.140625" style="640"/>
    <col min="9986" max="9986" width="47" style="640" customWidth="1"/>
    <col min="9987" max="9987" width="34.42578125" style="640" customWidth="1"/>
    <col min="9988" max="9988" width="13.140625" style="640" customWidth="1"/>
    <col min="9989" max="9989" width="10.140625" style="640" customWidth="1"/>
    <col min="9990" max="9990" width="13.42578125" style="640" customWidth="1"/>
    <col min="9991" max="9991" width="17.85546875" style="640" customWidth="1"/>
    <col min="9992" max="9998" width="11.42578125" style="640" customWidth="1"/>
    <col min="9999" max="10001" width="0" style="640" hidden="1" customWidth="1"/>
    <col min="10002" max="10241" width="9.140625" style="640"/>
    <col min="10242" max="10242" width="47" style="640" customWidth="1"/>
    <col min="10243" max="10243" width="34.42578125" style="640" customWidth="1"/>
    <col min="10244" max="10244" width="13.140625" style="640" customWidth="1"/>
    <col min="10245" max="10245" width="10.140625" style="640" customWidth="1"/>
    <col min="10246" max="10246" width="13.42578125" style="640" customWidth="1"/>
    <col min="10247" max="10247" width="17.85546875" style="640" customWidth="1"/>
    <col min="10248" max="10254" width="11.42578125" style="640" customWidth="1"/>
    <col min="10255" max="10257" width="0" style="640" hidden="1" customWidth="1"/>
    <col min="10258" max="10497" width="9.140625" style="640"/>
    <col min="10498" max="10498" width="47" style="640" customWidth="1"/>
    <col min="10499" max="10499" width="34.42578125" style="640" customWidth="1"/>
    <col min="10500" max="10500" width="13.140625" style="640" customWidth="1"/>
    <col min="10501" max="10501" width="10.140625" style="640" customWidth="1"/>
    <col min="10502" max="10502" width="13.42578125" style="640" customWidth="1"/>
    <col min="10503" max="10503" width="17.85546875" style="640" customWidth="1"/>
    <col min="10504" max="10510" width="11.42578125" style="640" customWidth="1"/>
    <col min="10511" max="10513" width="0" style="640" hidden="1" customWidth="1"/>
    <col min="10514" max="10753" width="9.140625" style="640"/>
    <col min="10754" max="10754" width="47" style="640" customWidth="1"/>
    <col min="10755" max="10755" width="34.42578125" style="640" customWidth="1"/>
    <col min="10756" max="10756" width="13.140625" style="640" customWidth="1"/>
    <col min="10757" max="10757" width="10.140625" style="640" customWidth="1"/>
    <col min="10758" max="10758" width="13.42578125" style="640" customWidth="1"/>
    <col min="10759" max="10759" width="17.85546875" style="640" customWidth="1"/>
    <col min="10760" max="10766" width="11.42578125" style="640" customWidth="1"/>
    <col min="10767" max="10769" width="0" style="640" hidden="1" customWidth="1"/>
    <col min="10770" max="11009" width="9.140625" style="640"/>
    <col min="11010" max="11010" width="47" style="640" customWidth="1"/>
    <col min="11011" max="11011" width="34.42578125" style="640" customWidth="1"/>
    <col min="11012" max="11012" width="13.140625" style="640" customWidth="1"/>
    <col min="11013" max="11013" width="10.140625" style="640" customWidth="1"/>
    <col min="11014" max="11014" width="13.42578125" style="640" customWidth="1"/>
    <col min="11015" max="11015" width="17.85546875" style="640" customWidth="1"/>
    <col min="11016" max="11022" width="11.42578125" style="640" customWidth="1"/>
    <col min="11023" max="11025" width="0" style="640" hidden="1" customWidth="1"/>
    <col min="11026" max="11265" width="9.140625" style="640"/>
    <col min="11266" max="11266" width="47" style="640" customWidth="1"/>
    <col min="11267" max="11267" width="34.42578125" style="640" customWidth="1"/>
    <col min="11268" max="11268" width="13.140625" style="640" customWidth="1"/>
    <col min="11269" max="11269" width="10.140625" style="640" customWidth="1"/>
    <col min="11270" max="11270" width="13.42578125" style="640" customWidth="1"/>
    <col min="11271" max="11271" width="17.85546875" style="640" customWidth="1"/>
    <col min="11272" max="11278" width="11.42578125" style="640" customWidth="1"/>
    <col min="11279" max="11281" width="0" style="640" hidden="1" customWidth="1"/>
    <col min="11282" max="11521" width="9.140625" style="640"/>
    <col min="11522" max="11522" width="47" style="640" customWidth="1"/>
    <col min="11523" max="11523" width="34.42578125" style="640" customWidth="1"/>
    <col min="11524" max="11524" width="13.140625" style="640" customWidth="1"/>
    <col min="11525" max="11525" width="10.140625" style="640" customWidth="1"/>
    <col min="11526" max="11526" width="13.42578125" style="640" customWidth="1"/>
    <col min="11527" max="11527" width="17.85546875" style="640" customWidth="1"/>
    <col min="11528" max="11534" width="11.42578125" style="640" customWidth="1"/>
    <col min="11535" max="11537" width="0" style="640" hidden="1" customWidth="1"/>
    <col min="11538" max="11777" width="9.140625" style="640"/>
    <col min="11778" max="11778" width="47" style="640" customWidth="1"/>
    <col min="11779" max="11779" width="34.42578125" style="640" customWidth="1"/>
    <col min="11780" max="11780" width="13.140625" style="640" customWidth="1"/>
    <col min="11781" max="11781" width="10.140625" style="640" customWidth="1"/>
    <col min="11782" max="11782" width="13.42578125" style="640" customWidth="1"/>
    <col min="11783" max="11783" width="17.85546875" style="640" customWidth="1"/>
    <col min="11784" max="11790" width="11.42578125" style="640" customWidth="1"/>
    <col min="11791" max="11793" width="0" style="640" hidden="1" customWidth="1"/>
    <col min="11794" max="12033" width="9.140625" style="640"/>
    <col min="12034" max="12034" width="47" style="640" customWidth="1"/>
    <col min="12035" max="12035" width="34.42578125" style="640" customWidth="1"/>
    <col min="12036" max="12036" width="13.140625" style="640" customWidth="1"/>
    <col min="12037" max="12037" width="10.140625" style="640" customWidth="1"/>
    <col min="12038" max="12038" width="13.42578125" style="640" customWidth="1"/>
    <col min="12039" max="12039" width="17.85546875" style="640" customWidth="1"/>
    <col min="12040" max="12046" width="11.42578125" style="640" customWidth="1"/>
    <col min="12047" max="12049" width="0" style="640" hidden="1" customWidth="1"/>
    <col min="12050" max="12289" width="9.140625" style="640"/>
    <col min="12290" max="12290" width="47" style="640" customWidth="1"/>
    <col min="12291" max="12291" width="34.42578125" style="640" customWidth="1"/>
    <col min="12292" max="12292" width="13.140625" style="640" customWidth="1"/>
    <col min="12293" max="12293" width="10.140625" style="640" customWidth="1"/>
    <col min="12294" max="12294" width="13.42578125" style="640" customWidth="1"/>
    <col min="12295" max="12295" width="17.85546875" style="640" customWidth="1"/>
    <col min="12296" max="12302" width="11.42578125" style="640" customWidth="1"/>
    <col min="12303" max="12305" width="0" style="640" hidden="1" customWidth="1"/>
    <col min="12306" max="12545" width="9.140625" style="640"/>
    <col min="12546" max="12546" width="47" style="640" customWidth="1"/>
    <col min="12547" max="12547" width="34.42578125" style="640" customWidth="1"/>
    <col min="12548" max="12548" width="13.140625" style="640" customWidth="1"/>
    <col min="12549" max="12549" width="10.140625" style="640" customWidth="1"/>
    <col min="12550" max="12550" width="13.42578125" style="640" customWidth="1"/>
    <col min="12551" max="12551" width="17.85546875" style="640" customWidth="1"/>
    <col min="12552" max="12558" width="11.42578125" style="640" customWidth="1"/>
    <col min="12559" max="12561" width="0" style="640" hidden="1" customWidth="1"/>
    <col min="12562" max="12801" width="9.140625" style="640"/>
    <col min="12802" max="12802" width="47" style="640" customWidth="1"/>
    <col min="12803" max="12803" width="34.42578125" style="640" customWidth="1"/>
    <col min="12804" max="12804" width="13.140625" style="640" customWidth="1"/>
    <col min="12805" max="12805" width="10.140625" style="640" customWidth="1"/>
    <col min="12806" max="12806" width="13.42578125" style="640" customWidth="1"/>
    <col min="12807" max="12807" width="17.85546875" style="640" customWidth="1"/>
    <col min="12808" max="12814" width="11.42578125" style="640" customWidth="1"/>
    <col min="12815" max="12817" width="0" style="640" hidden="1" customWidth="1"/>
    <col min="12818" max="13057" width="9.140625" style="640"/>
    <col min="13058" max="13058" width="47" style="640" customWidth="1"/>
    <col min="13059" max="13059" width="34.42578125" style="640" customWidth="1"/>
    <col min="13060" max="13060" width="13.140625" style="640" customWidth="1"/>
    <col min="13061" max="13061" width="10.140625" style="640" customWidth="1"/>
    <col min="13062" max="13062" width="13.42578125" style="640" customWidth="1"/>
    <col min="13063" max="13063" width="17.85546875" style="640" customWidth="1"/>
    <col min="13064" max="13070" width="11.42578125" style="640" customWidth="1"/>
    <col min="13071" max="13073" width="0" style="640" hidden="1" customWidth="1"/>
    <col min="13074" max="13313" width="9.140625" style="640"/>
    <col min="13314" max="13314" width="47" style="640" customWidth="1"/>
    <col min="13315" max="13315" width="34.42578125" style="640" customWidth="1"/>
    <col min="13316" max="13316" width="13.140625" style="640" customWidth="1"/>
    <col min="13317" max="13317" width="10.140625" style="640" customWidth="1"/>
    <col min="13318" max="13318" width="13.42578125" style="640" customWidth="1"/>
    <col min="13319" max="13319" width="17.85546875" style="640" customWidth="1"/>
    <col min="13320" max="13326" width="11.42578125" style="640" customWidth="1"/>
    <col min="13327" max="13329" width="0" style="640" hidden="1" customWidth="1"/>
    <col min="13330" max="13569" width="9.140625" style="640"/>
    <col min="13570" max="13570" width="47" style="640" customWidth="1"/>
    <col min="13571" max="13571" width="34.42578125" style="640" customWidth="1"/>
    <col min="13572" max="13572" width="13.140625" style="640" customWidth="1"/>
    <col min="13573" max="13573" width="10.140625" style="640" customWidth="1"/>
    <col min="13574" max="13574" width="13.42578125" style="640" customWidth="1"/>
    <col min="13575" max="13575" width="17.85546875" style="640" customWidth="1"/>
    <col min="13576" max="13582" width="11.42578125" style="640" customWidth="1"/>
    <col min="13583" max="13585" width="0" style="640" hidden="1" customWidth="1"/>
    <col min="13586" max="13825" width="9.140625" style="640"/>
    <col min="13826" max="13826" width="47" style="640" customWidth="1"/>
    <col min="13827" max="13827" width="34.42578125" style="640" customWidth="1"/>
    <col min="13828" max="13828" width="13.140625" style="640" customWidth="1"/>
    <col min="13829" max="13829" width="10.140625" style="640" customWidth="1"/>
    <col min="13830" max="13830" width="13.42578125" style="640" customWidth="1"/>
    <col min="13831" max="13831" width="17.85546875" style="640" customWidth="1"/>
    <col min="13832" max="13838" width="11.42578125" style="640" customWidth="1"/>
    <col min="13839" max="13841" width="0" style="640" hidden="1" customWidth="1"/>
    <col min="13842" max="14081" width="9.140625" style="640"/>
    <col min="14082" max="14082" width="47" style="640" customWidth="1"/>
    <col min="14083" max="14083" width="34.42578125" style="640" customWidth="1"/>
    <col min="14084" max="14084" width="13.140625" style="640" customWidth="1"/>
    <col min="14085" max="14085" width="10.140625" style="640" customWidth="1"/>
    <col min="14086" max="14086" width="13.42578125" style="640" customWidth="1"/>
    <col min="14087" max="14087" width="17.85546875" style="640" customWidth="1"/>
    <col min="14088" max="14094" width="11.42578125" style="640" customWidth="1"/>
    <col min="14095" max="14097" width="0" style="640" hidden="1" customWidth="1"/>
    <col min="14098" max="14337" width="9.140625" style="640"/>
    <col min="14338" max="14338" width="47" style="640" customWidth="1"/>
    <col min="14339" max="14339" width="34.42578125" style="640" customWidth="1"/>
    <col min="14340" max="14340" width="13.140625" style="640" customWidth="1"/>
    <col min="14341" max="14341" width="10.140625" style="640" customWidth="1"/>
    <col min="14342" max="14342" width="13.42578125" style="640" customWidth="1"/>
    <col min="14343" max="14343" width="17.85546875" style="640" customWidth="1"/>
    <col min="14344" max="14350" width="11.42578125" style="640" customWidth="1"/>
    <col min="14351" max="14353" width="0" style="640" hidden="1" customWidth="1"/>
    <col min="14354" max="14593" width="9.140625" style="640"/>
    <col min="14594" max="14594" width="47" style="640" customWidth="1"/>
    <col min="14595" max="14595" width="34.42578125" style="640" customWidth="1"/>
    <col min="14596" max="14596" width="13.140625" style="640" customWidth="1"/>
    <col min="14597" max="14597" width="10.140625" style="640" customWidth="1"/>
    <col min="14598" max="14598" width="13.42578125" style="640" customWidth="1"/>
    <col min="14599" max="14599" width="17.85546875" style="640" customWidth="1"/>
    <col min="14600" max="14606" width="11.42578125" style="640" customWidth="1"/>
    <col min="14607" max="14609" width="0" style="640" hidden="1" customWidth="1"/>
    <col min="14610" max="14849" width="9.140625" style="640"/>
    <col min="14850" max="14850" width="47" style="640" customWidth="1"/>
    <col min="14851" max="14851" width="34.42578125" style="640" customWidth="1"/>
    <col min="14852" max="14852" width="13.140625" style="640" customWidth="1"/>
    <col min="14853" max="14853" width="10.140625" style="640" customWidth="1"/>
    <col min="14854" max="14854" width="13.42578125" style="640" customWidth="1"/>
    <col min="14855" max="14855" width="17.85546875" style="640" customWidth="1"/>
    <col min="14856" max="14862" width="11.42578125" style="640" customWidth="1"/>
    <col min="14863" max="14865" width="0" style="640" hidden="1" customWidth="1"/>
    <col min="14866" max="15105" width="9.140625" style="640"/>
    <col min="15106" max="15106" width="47" style="640" customWidth="1"/>
    <col min="15107" max="15107" width="34.42578125" style="640" customWidth="1"/>
    <col min="15108" max="15108" width="13.140625" style="640" customWidth="1"/>
    <col min="15109" max="15109" width="10.140625" style="640" customWidth="1"/>
    <col min="15110" max="15110" width="13.42578125" style="640" customWidth="1"/>
    <col min="15111" max="15111" width="17.85546875" style="640" customWidth="1"/>
    <col min="15112" max="15118" width="11.42578125" style="640" customWidth="1"/>
    <col min="15119" max="15121" width="0" style="640" hidden="1" customWidth="1"/>
    <col min="15122" max="15361" width="9.140625" style="640"/>
    <col min="15362" max="15362" width="47" style="640" customWidth="1"/>
    <col min="15363" max="15363" width="34.42578125" style="640" customWidth="1"/>
    <col min="15364" max="15364" width="13.140625" style="640" customWidth="1"/>
    <col min="15365" max="15365" width="10.140625" style="640" customWidth="1"/>
    <col min="15366" max="15366" width="13.42578125" style="640" customWidth="1"/>
    <col min="15367" max="15367" width="17.85546875" style="640" customWidth="1"/>
    <col min="15368" max="15374" width="11.42578125" style="640" customWidth="1"/>
    <col min="15375" max="15377" width="0" style="640" hidden="1" customWidth="1"/>
    <col min="15378" max="15617" width="9.140625" style="640"/>
    <col min="15618" max="15618" width="47" style="640" customWidth="1"/>
    <col min="15619" max="15619" width="34.42578125" style="640" customWidth="1"/>
    <col min="15620" max="15620" width="13.140625" style="640" customWidth="1"/>
    <col min="15621" max="15621" width="10.140625" style="640" customWidth="1"/>
    <col min="15622" max="15622" width="13.42578125" style="640" customWidth="1"/>
    <col min="15623" max="15623" width="17.85546875" style="640" customWidth="1"/>
    <col min="15624" max="15630" width="11.42578125" style="640" customWidth="1"/>
    <col min="15631" max="15633" width="0" style="640" hidden="1" customWidth="1"/>
    <col min="15634" max="15873" width="9.140625" style="640"/>
    <col min="15874" max="15874" width="47" style="640" customWidth="1"/>
    <col min="15875" max="15875" width="34.42578125" style="640" customWidth="1"/>
    <col min="15876" max="15876" width="13.140625" style="640" customWidth="1"/>
    <col min="15877" max="15877" width="10.140625" style="640" customWidth="1"/>
    <col min="15878" max="15878" width="13.42578125" style="640" customWidth="1"/>
    <col min="15879" max="15879" width="17.85546875" style="640" customWidth="1"/>
    <col min="15880" max="15886" width="11.42578125" style="640" customWidth="1"/>
    <col min="15887" max="15889" width="0" style="640" hidden="1" customWidth="1"/>
    <col min="15890" max="16129" width="9.140625" style="640"/>
    <col min="16130" max="16130" width="47" style="640" customWidth="1"/>
    <col min="16131" max="16131" width="34.42578125" style="640" customWidth="1"/>
    <col min="16132" max="16132" width="13.140625" style="640" customWidth="1"/>
    <col min="16133" max="16133" width="10.140625" style="640" customWidth="1"/>
    <col min="16134" max="16134" width="13.42578125" style="640" customWidth="1"/>
    <col min="16135" max="16135" width="17.85546875" style="640" customWidth="1"/>
    <col min="16136" max="16142" width="11.42578125" style="640" customWidth="1"/>
    <col min="16143" max="16145" width="0" style="640" hidden="1" customWidth="1"/>
    <col min="16146" max="16384" width="9.140625" style="640"/>
  </cols>
  <sheetData>
    <row r="1" spans="2:7" ht="18.75" x14ac:dyDescent="0.3">
      <c r="B1" s="996" t="s">
        <v>1034</v>
      </c>
      <c r="C1" s="996"/>
      <c r="D1" s="996"/>
      <c r="E1" s="996"/>
      <c r="F1" s="996"/>
      <c r="G1" s="996"/>
    </row>
    <row r="2" spans="2:7" ht="8.25" customHeight="1" x14ac:dyDescent="0.2">
      <c r="B2" s="641"/>
      <c r="C2" s="642"/>
      <c r="D2" s="643"/>
      <c r="E2" s="644"/>
      <c r="F2" s="645"/>
    </row>
    <row r="3" spans="2:7" s="649" customFormat="1" ht="24" x14ac:dyDescent="0.25">
      <c r="B3" s="646" t="s">
        <v>27</v>
      </c>
      <c r="C3" s="647" t="s">
        <v>28</v>
      </c>
      <c r="D3" s="647" t="s">
        <v>29</v>
      </c>
      <c r="E3" s="647" t="s">
        <v>30</v>
      </c>
      <c r="F3" s="647" t="s">
        <v>405</v>
      </c>
      <c r="G3" s="648" t="s">
        <v>31</v>
      </c>
    </row>
    <row r="4" spans="2:7" x14ac:dyDescent="0.2">
      <c r="B4" s="650">
        <v>473649.47</v>
      </c>
      <c r="C4" s="650">
        <v>140121337.05000001</v>
      </c>
      <c r="D4" s="651">
        <f t="shared" ref="D4:D55" si="0">+B4/C4</f>
        <v>3.3802808335391911E-3</v>
      </c>
      <c r="E4" s="652">
        <f t="shared" ref="E4:E55" si="1">(((B4/C4) +1)^12)-1</f>
        <v>4.1326067984161385E-2</v>
      </c>
      <c r="F4" s="653">
        <v>2005</v>
      </c>
      <c r="G4" s="654" t="s">
        <v>32</v>
      </c>
    </row>
    <row r="5" spans="2:7" hidden="1" x14ac:dyDescent="0.2">
      <c r="B5" s="650">
        <v>1367765.53</v>
      </c>
      <c r="C5" s="650">
        <v>138110267.44</v>
      </c>
      <c r="D5" s="651">
        <f t="shared" si="0"/>
        <v>9.9034311883742163E-3</v>
      </c>
      <c r="E5" s="652">
        <f t="shared" si="1"/>
        <v>0.1255328445971795</v>
      </c>
      <c r="F5" s="653">
        <v>2005</v>
      </c>
      <c r="G5" s="654" t="s">
        <v>33</v>
      </c>
    </row>
    <row r="6" spans="2:7" hidden="1" x14ac:dyDescent="0.2">
      <c r="B6" s="650">
        <v>631209.47</v>
      </c>
      <c r="C6" s="650">
        <v>137349561.59999999</v>
      </c>
      <c r="D6" s="651">
        <f t="shared" si="0"/>
        <v>4.5956424079332484E-3</v>
      </c>
      <c r="E6" s="652">
        <f t="shared" si="1"/>
        <v>5.656319976748736E-2</v>
      </c>
      <c r="F6" s="653">
        <v>2005</v>
      </c>
      <c r="G6" s="654" t="s">
        <v>34</v>
      </c>
    </row>
    <row r="7" spans="2:7" hidden="1" x14ac:dyDescent="0.2">
      <c r="B7" s="650">
        <v>636403.30000000005</v>
      </c>
      <c r="C7" s="650">
        <v>136559354.19</v>
      </c>
      <c r="D7" s="651">
        <f t="shared" si="0"/>
        <v>4.660268816990369E-3</v>
      </c>
      <c r="E7" s="652">
        <f t="shared" si="1"/>
        <v>5.7379122679567907E-2</v>
      </c>
      <c r="F7" s="653">
        <v>2005</v>
      </c>
      <c r="G7" s="654" t="s">
        <v>35</v>
      </c>
    </row>
    <row r="8" spans="2:7" x14ac:dyDescent="0.2">
      <c r="B8" s="655">
        <v>1287152.8700000001</v>
      </c>
      <c r="C8" s="655">
        <v>132969632.07000001</v>
      </c>
      <c r="D8" s="651">
        <f t="shared" si="0"/>
        <v>9.6800513768617209E-3</v>
      </c>
      <c r="E8" s="652">
        <f t="shared" si="1"/>
        <v>0.12254900672147295</v>
      </c>
      <c r="F8" s="653">
        <v>2005</v>
      </c>
      <c r="G8" s="654" t="s">
        <v>36</v>
      </c>
    </row>
    <row r="9" spans="2:7" x14ac:dyDescent="0.2">
      <c r="B9" s="655">
        <v>1404283.2</v>
      </c>
      <c r="C9" s="655">
        <v>132969633.93000016</v>
      </c>
      <c r="D9" s="651">
        <f t="shared" si="0"/>
        <v>1.0560931533730953E-2</v>
      </c>
      <c r="E9" s="652">
        <f t="shared" si="1"/>
        <v>0.13435777448667463</v>
      </c>
      <c r="F9" s="653">
        <v>2006</v>
      </c>
      <c r="G9" s="654" t="s">
        <v>37</v>
      </c>
    </row>
    <row r="10" spans="2:7" hidden="1" x14ac:dyDescent="0.2">
      <c r="B10" s="655">
        <v>939040.77</v>
      </c>
      <c r="C10" s="655">
        <v>131948522.97000012</v>
      </c>
      <c r="D10" s="651">
        <f t="shared" si="0"/>
        <v>7.116720588175896E-3</v>
      </c>
      <c r="E10" s="652">
        <f t="shared" si="1"/>
        <v>8.8823978429375616E-2</v>
      </c>
      <c r="F10" s="653">
        <v>2006</v>
      </c>
      <c r="G10" s="654" t="s">
        <v>38</v>
      </c>
    </row>
    <row r="11" spans="2:7" hidden="1" x14ac:dyDescent="0.2">
      <c r="B11" s="655">
        <v>1421939.1</v>
      </c>
      <c r="C11" s="655">
        <v>128395921.30000001</v>
      </c>
      <c r="D11" s="651">
        <f t="shared" si="0"/>
        <v>1.1074643848519198E-2</v>
      </c>
      <c r="E11" s="652">
        <f t="shared" si="1"/>
        <v>0.14129687806410529</v>
      </c>
      <c r="F11" s="653">
        <v>2006</v>
      </c>
      <c r="G11" s="654" t="s">
        <v>39</v>
      </c>
    </row>
    <row r="12" spans="2:7" hidden="1" x14ac:dyDescent="0.2">
      <c r="B12" s="655">
        <v>1035670.23</v>
      </c>
      <c r="C12" s="655">
        <v>127909448.40000001</v>
      </c>
      <c r="D12" s="651">
        <f t="shared" si="0"/>
        <v>8.0969016984674905E-3</v>
      </c>
      <c r="E12" s="652">
        <f t="shared" si="1"/>
        <v>0.10160870659708032</v>
      </c>
      <c r="F12" s="653">
        <v>2006</v>
      </c>
      <c r="G12" s="654" t="s">
        <v>40</v>
      </c>
    </row>
    <row r="13" spans="2:7" hidden="1" x14ac:dyDescent="0.2">
      <c r="B13" s="655">
        <v>831571.36</v>
      </c>
      <c r="C13" s="655">
        <v>126153336.06999999</v>
      </c>
      <c r="D13" s="651">
        <f t="shared" si="0"/>
        <v>6.5917508478616649E-3</v>
      </c>
      <c r="E13" s="652">
        <f t="shared" si="1"/>
        <v>8.2032744756009413E-2</v>
      </c>
      <c r="F13" s="653">
        <v>2006</v>
      </c>
      <c r="G13" s="654" t="s">
        <v>41</v>
      </c>
    </row>
    <row r="14" spans="2:7" hidden="1" x14ac:dyDescent="0.2">
      <c r="B14" s="655">
        <v>437477.91</v>
      </c>
      <c r="C14" s="655">
        <v>125417333.20999999</v>
      </c>
      <c r="D14" s="651">
        <f t="shared" si="0"/>
        <v>3.4881774217562314E-3</v>
      </c>
      <c r="E14" s="652">
        <f t="shared" si="1"/>
        <v>4.2670587184964415E-2</v>
      </c>
      <c r="F14" s="653">
        <v>2006</v>
      </c>
      <c r="G14" s="654" t="s">
        <v>42</v>
      </c>
    </row>
    <row r="15" spans="2:7" hidden="1" x14ac:dyDescent="0.2">
      <c r="B15" s="655">
        <v>1060084.1599999999</v>
      </c>
      <c r="C15" s="655">
        <v>124344166.84999999</v>
      </c>
      <c r="D15" s="651">
        <f t="shared" si="0"/>
        <v>8.5254032163713037E-3</v>
      </c>
      <c r="E15" s="652">
        <f t="shared" si="1"/>
        <v>0.10724085705910502</v>
      </c>
      <c r="F15" s="653">
        <v>2006</v>
      </c>
      <c r="G15" s="654" t="s">
        <v>43</v>
      </c>
    </row>
    <row r="16" spans="2:7" hidden="1" x14ac:dyDescent="0.2">
      <c r="B16" s="655">
        <v>707012.06</v>
      </c>
      <c r="C16" s="655">
        <v>123389409.59999999</v>
      </c>
      <c r="D16" s="651">
        <f t="shared" si="0"/>
        <v>5.7299249772891376E-3</v>
      </c>
      <c r="E16" s="652">
        <f t="shared" si="1"/>
        <v>7.0967940418098285E-2</v>
      </c>
      <c r="F16" s="653">
        <v>2006</v>
      </c>
      <c r="G16" s="654" t="s">
        <v>32</v>
      </c>
    </row>
    <row r="17" spans="2:7" hidden="1" x14ac:dyDescent="0.2">
      <c r="B17" s="655">
        <v>1607097.91</v>
      </c>
      <c r="C17" s="655">
        <v>121090646.34999999</v>
      </c>
      <c r="D17" s="651">
        <f t="shared" si="0"/>
        <v>1.3271858384130262E-2</v>
      </c>
      <c r="E17" s="652">
        <f t="shared" si="1"/>
        <v>0.1714176782275485</v>
      </c>
      <c r="F17" s="653">
        <v>2006</v>
      </c>
      <c r="G17" s="654" t="s">
        <v>33</v>
      </c>
    </row>
    <row r="18" spans="2:7" hidden="1" x14ac:dyDescent="0.2">
      <c r="B18" s="655">
        <v>971635.3</v>
      </c>
      <c r="C18" s="655">
        <v>119871721.36</v>
      </c>
      <c r="D18" s="651">
        <f t="shared" si="0"/>
        <v>8.1056256552950873E-3</v>
      </c>
      <c r="E18" s="652">
        <f t="shared" si="1"/>
        <v>0.10172311041140225</v>
      </c>
      <c r="F18" s="653">
        <v>2006</v>
      </c>
      <c r="G18" s="654" t="s">
        <v>34</v>
      </c>
    </row>
    <row r="19" spans="2:7" hidden="1" x14ac:dyDescent="0.2">
      <c r="B19" s="655">
        <v>592304.48</v>
      </c>
      <c r="C19" s="655">
        <v>119452838.47</v>
      </c>
      <c r="D19" s="651">
        <f t="shared" si="0"/>
        <v>4.958479744696518E-3</v>
      </c>
      <c r="E19" s="652">
        <f t="shared" si="1"/>
        <v>6.1151589550110019E-2</v>
      </c>
      <c r="F19" s="653">
        <v>2006</v>
      </c>
      <c r="G19" s="654" t="s">
        <v>35</v>
      </c>
    </row>
    <row r="20" spans="2:7" x14ac:dyDescent="0.2">
      <c r="B20" s="655">
        <v>1593994.79</v>
      </c>
      <c r="C20" s="655">
        <v>117101789.48</v>
      </c>
      <c r="D20" s="651">
        <f t="shared" si="0"/>
        <v>1.3612044675647257E-2</v>
      </c>
      <c r="E20" s="652">
        <f t="shared" si="1"/>
        <v>0.17614577042962209</v>
      </c>
      <c r="F20" s="653">
        <v>2006</v>
      </c>
      <c r="G20" s="654" t="s">
        <v>36</v>
      </c>
    </row>
    <row r="21" spans="2:7" x14ac:dyDescent="0.2">
      <c r="B21" s="655">
        <v>1227719.81</v>
      </c>
      <c r="C21" s="655">
        <v>115759814.75</v>
      </c>
      <c r="D21" s="651">
        <f t="shared" si="0"/>
        <v>1.0605751336518962E-2</v>
      </c>
      <c r="E21" s="652">
        <f t="shared" si="1"/>
        <v>0.13496164618538353</v>
      </c>
      <c r="F21" s="653">
        <v>2007</v>
      </c>
      <c r="G21" s="654" t="s">
        <v>37</v>
      </c>
    </row>
    <row r="22" spans="2:7" hidden="1" x14ac:dyDescent="0.2">
      <c r="B22" s="655">
        <v>305753.09000000003</v>
      </c>
      <c r="C22" s="655">
        <v>115054021.51000001</v>
      </c>
      <c r="D22" s="651">
        <f t="shared" si="0"/>
        <v>2.6574741672408665E-3</v>
      </c>
      <c r="E22" s="652">
        <f t="shared" si="1"/>
        <v>3.2359946807543949E-2</v>
      </c>
      <c r="F22" s="653">
        <v>2007</v>
      </c>
      <c r="G22" s="654" t="s">
        <v>38</v>
      </c>
    </row>
    <row r="23" spans="2:7" hidden="1" x14ac:dyDescent="0.2">
      <c r="B23" s="655">
        <v>840504.11</v>
      </c>
      <c r="C23" s="655">
        <v>113849025.65000001</v>
      </c>
      <c r="D23" s="651">
        <f t="shared" si="0"/>
        <v>7.3826201427838042E-3</v>
      </c>
      <c r="E23" s="652">
        <f t="shared" si="1"/>
        <v>9.2278655582671787E-2</v>
      </c>
      <c r="F23" s="653">
        <v>2007</v>
      </c>
      <c r="G23" s="654" t="s">
        <v>39</v>
      </c>
    </row>
    <row r="24" spans="2:7" hidden="1" x14ac:dyDescent="0.2">
      <c r="B24" s="655">
        <v>1120017.04</v>
      </c>
      <c r="C24" s="655">
        <v>112662910.28</v>
      </c>
      <c r="D24" s="651">
        <f t="shared" si="0"/>
        <v>9.9413110953412518E-3</v>
      </c>
      <c r="E24" s="652">
        <f t="shared" si="1"/>
        <v>0.12603955295787861</v>
      </c>
      <c r="F24" s="653">
        <v>2007</v>
      </c>
      <c r="G24" s="654" t="s">
        <v>40</v>
      </c>
    </row>
    <row r="25" spans="2:7" hidden="1" x14ac:dyDescent="0.2">
      <c r="B25" s="655">
        <v>580947.89</v>
      </c>
      <c r="C25" s="655">
        <v>110984595.13</v>
      </c>
      <c r="D25" s="651">
        <f t="shared" si="0"/>
        <v>5.2344912311435314E-3</v>
      </c>
      <c r="E25" s="652">
        <f t="shared" si="1"/>
        <v>6.4654216222501226E-2</v>
      </c>
      <c r="F25" s="653">
        <v>2007</v>
      </c>
      <c r="G25" s="654" t="s">
        <v>41</v>
      </c>
    </row>
    <row r="26" spans="2:7" hidden="1" x14ac:dyDescent="0.2">
      <c r="B26" s="655">
        <v>523819.87</v>
      </c>
      <c r="C26" s="655">
        <v>110552404.81</v>
      </c>
      <c r="D26" s="651">
        <f t="shared" si="0"/>
        <v>4.738204210937417E-3</v>
      </c>
      <c r="E26" s="652">
        <f t="shared" si="1"/>
        <v>5.8363842745144501E-2</v>
      </c>
      <c r="F26" s="653">
        <v>2007</v>
      </c>
      <c r="G26" s="654" t="s">
        <v>42</v>
      </c>
    </row>
    <row r="27" spans="2:7" hidden="1" x14ac:dyDescent="0.2">
      <c r="B27" s="655">
        <v>1378864.04</v>
      </c>
      <c r="C27" s="655">
        <v>108111922.09</v>
      </c>
      <c r="D27" s="651">
        <f t="shared" si="0"/>
        <v>1.275404241589689E-2</v>
      </c>
      <c r="E27" s="652">
        <f t="shared" si="1"/>
        <v>0.16425422916863508</v>
      </c>
      <c r="F27" s="653">
        <v>2007</v>
      </c>
      <c r="G27" s="654" t="s">
        <v>43</v>
      </c>
    </row>
    <row r="28" spans="2:7" hidden="1" x14ac:dyDescent="0.2">
      <c r="B28" s="655">
        <v>887739.93</v>
      </c>
      <c r="C28" s="655">
        <v>107472178.19</v>
      </c>
      <c r="D28" s="651">
        <f t="shared" si="0"/>
        <v>8.2601836582353923E-3</v>
      </c>
      <c r="E28" s="652">
        <f t="shared" si="1"/>
        <v>0.10375175239663714</v>
      </c>
      <c r="F28" s="653">
        <v>2007</v>
      </c>
      <c r="G28" s="654" t="s">
        <v>32</v>
      </c>
    </row>
    <row r="29" spans="2:7" hidden="1" x14ac:dyDescent="0.2">
      <c r="B29" s="656">
        <v>1025830.17</v>
      </c>
      <c r="C29" s="655">
        <v>105679556.91</v>
      </c>
      <c r="D29" s="651">
        <f t="shared" si="0"/>
        <v>9.70698780345596E-3</v>
      </c>
      <c r="E29" s="652">
        <f t="shared" si="1"/>
        <v>0.1229084302360417</v>
      </c>
      <c r="F29" s="653">
        <v>2007</v>
      </c>
      <c r="G29" s="654" t="s">
        <v>33</v>
      </c>
    </row>
    <row r="30" spans="2:7" hidden="1" x14ac:dyDescent="0.2">
      <c r="B30" s="656">
        <v>915712.1</v>
      </c>
      <c r="C30" s="655">
        <v>104372181.5</v>
      </c>
      <c r="D30" s="651">
        <f t="shared" si="0"/>
        <v>8.7735264975754099E-3</v>
      </c>
      <c r="E30" s="652">
        <f t="shared" si="1"/>
        <v>0.11051420196935724</v>
      </c>
      <c r="F30" s="653">
        <v>2007</v>
      </c>
      <c r="G30" s="654" t="s">
        <v>34</v>
      </c>
    </row>
    <row r="31" spans="2:7" hidden="1" x14ac:dyDescent="0.2">
      <c r="B31" s="656">
        <v>599563.43999999994</v>
      </c>
      <c r="C31" s="655">
        <v>102789903.48999999</v>
      </c>
      <c r="D31" s="651">
        <f t="shared" si="0"/>
        <v>5.8329020618092999E-3</v>
      </c>
      <c r="E31" s="652">
        <f t="shared" si="1"/>
        <v>7.2284563674751778E-2</v>
      </c>
      <c r="F31" s="653">
        <v>2007</v>
      </c>
      <c r="G31" s="654" t="s">
        <v>35</v>
      </c>
    </row>
    <row r="32" spans="2:7" x14ac:dyDescent="0.2">
      <c r="B32" s="657">
        <v>855143.51</v>
      </c>
      <c r="C32" s="655">
        <v>101564110.22</v>
      </c>
      <c r="D32" s="651">
        <f t="shared" si="0"/>
        <v>8.4197410694354241E-3</v>
      </c>
      <c r="E32" s="652">
        <f t="shared" si="1"/>
        <v>0.10584960538507171</v>
      </c>
      <c r="F32" s="653">
        <v>2007</v>
      </c>
      <c r="G32" s="654" t="s">
        <v>36</v>
      </c>
    </row>
    <row r="33" spans="2:7" x14ac:dyDescent="0.2">
      <c r="B33" s="657">
        <v>1361365.67</v>
      </c>
      <c r="C33" s="655">
        <v>99931055.659999996</v>
      </c>
      <c r="D33" s="651">
        <f t="shared" si="0"/>
        <v>1.3623049021235567E-2</v>
      </c>
      <c r="E33" s="652">
        <f t="shared" si="1"/>
        <v>0.17629900642289598</v>
      </c>
      <c r="F33" s="653">
        <v>2008</v>
      </c>
      <c r="G33" s="654" t="s">
        <v>37</v>
      </c>
    </row>
    <row r="34" spans="2:7" hidden="1" x14ac:dyDescent="0.2">
      <c r="B34" s="658">
        <v>1276601.0900000001</v>
      </c>
      <c r="C34" s="655">
        <v>97437729.650000006</v>
      </c>
      <c r="D34" s="651">
        <f t="shared" si="0"/>
        <v>1.3101712186702207E-2</v>
      </c>
      <c r="E34" s="652">
        <f t="shared" si="1"/>
        <v>0.1690594369638112</v>
      </c>
      <c r="F34" s="653">
        <v>2008</v>
      </c>
      <c r="G34" s="654" t="s">
        <v>38</v>
      </c>
    </row>
    <row r="35" spans="2:7" hidden="1" x14ac:dyDescent="0.2">
      <c r="B35" s="658">
        <v>1260267.3999999999</v>
      </c>
      <c r="C35" s="655">
        <v>95413181.900000006</v>
      </c>
      <c r="D35" s="651">
        <f t="shared" si="0"/>
        <v>1.320852501618542E-2</v>
      </c>
      <c r="E35" s="652">
        <f t="shared" si="1"/>
        <v>0.17053936316668183</v>
      </c>
      <c r="F35" s="653">
        <v>2008</v>
      </c>
      <c r="G35" s="654" t="s">
        <v>39</v>
      </c>
    </row>
    <row r="36" spans="2:7" hidden="1" x14ac:dyDescent="0.2">
      <c r="B36" s="658">
        <v>1223858.8400000001</v>
      </c>
      <c r="C36" s="655">
        <v>93716920.939999998</v>
      </c>
      <c r="D36" s="651">
        <f t="shared" si="0"/>
        <v>1.3059102110103962E-2</v>
      </c>
      <c r="E36" s="652">
        <f t="shared" si="1"/>
        <v>0.1684695393450486</v>
      </c>
      <c r="F36" s="653">
        <v>2008</v>
      </c>
      <c r="G36" s="654" t="s">
        <v>40</v>
      </c>
    </row>
    <row r="37" spans="2:7" hidden="1" x14ac:dyDescent="0.2">
      <c r="B37" s="658">
        <v>824964.9</v>
      </c>
      <c r="C37" s="655">
        <v>92004216.760000005</v>
      </c>
      <c r="D37" s="651">
        <f t="shared" si="0"/>
        <v>8.9665988044002783E-3</v>
      </c>
      <c r="E37" s="652">
        <f t="shared" si="1"/>
        <v>0.11306742579556039</v>
      </c>
      <c r="F37" s="653">
        <v>2008</v>
      </c>
      <c r="G37" s="654" t="s">
        <v>41</v>
      </c>
    </row>
    <row r="38" spans="2:7" hidden="1" x14ac:dyDescent="0.2">
      <c r="B38" s="658">
        <v>1273175.6299999999</v>
      </c>
      <c r="C38" s="655">
        <v>91731197.079999998</v>
      </c>
      <c r="D38" s="651">
        <f t="shared" si="0"/>
        <v>1.3879418022743631E-2</v>
      </c>
      <c r="E38" s="652">
        <f t="shared" si="1"/>
        <v>0.17987413970918387</v>
      </c>
      <c r="F38" s="653">
        <v>2008</v>
      </c>
      <c r="G38" s="654" t="s">
        <v>42</v>
      </c>
    </row>
    <row r="39" spans="2:7" hidden="1" x14ac:dyDescent="0.2">
      <c r="B39" s="658">
        <v>735359.69</v>
      </c>
      <c r="C39" s="655">
        <v>90156818.709999993</v>
      </c>
      <c r="D39" s="651">
        <f t="shared" si="0"/>
        <v>8.156451176093189E-3</v>
      </c>
      <c r="E39" s="652">
        <f t="shared" si="1"/>
        <v>0.10238984031628506</v>
      </c>
      <c r="F39" s="653">
        <v>2008</v>
      </c>
      <c r="G39" s="654" t="s">
        <v>43</v>
      </c>
    </row>
    <row r="40" spans="2:7" hidden="1" x14ac:dyDescent="0.2">
      <c r="B40" s="658">
        <v>1531379.25</v>
      </c>
      <c r="C40" s="655">
        <v>88765782.83190009</v>
      </c>
      <c r="D40" s="651">
        <f t="shared" si="0"/>
        <v>1.7251909476200356E-2</v>
      </c>
      <c r="E40" s="652">
        <f t="shared" si="1"/>
        <v>0.22784109505429084</v>
      </c>
      <c r="F40" s="653">
        <v>2008</v>
      </c>
      <c r="G40" s="654" t="s">
        <v>44</v>
      </c>
    </row>
    <row r="41" spans="2:7" hidden="1" x14ac:dyDescent="0.2">
      <c r="B41" s="658">
        <v>1641745.34</v>
      </c>
      <c r="C41" s="655">
        <v>86058032.603900045</v>
      </c>
      <c r="D41" s="651">
        <f t="shared" si="0"/>
        <v>1.9077188849488041E-2</v>
      </c>
      <c r="E41" s="652">
        <f t="shared" si="1"/>
        <v>0.25454130499199801</v>
      </c>
      <c r="F41" s="653">
        <v>2008</v>
      </c>
      <c r="G41" s="654" t="s">
        <v>45</v>
      </c>
    </row>
    <row r="42" spans="2:7" hidden="1" x14ac:dyDescent="0.2">
      <c r="B42" s="658">
        <v>1098493.67</v>
      </c>
      <c r="C42" s="655">
        <v>85140508.973100051</v>
      </c>
      <c r="D42" s="651">
        <f t="shared" si="0"/>
        <v>1.2902127121968069E-2</v>
      </c>
      <c r="E42" s="652">
        <f t="shared" si="1"/>
        <v>0.16629871726288359</v>
      </c>
      <c r="F42" s="653">
        <v>2008</v>
      </c>
      <c r="G42" s="654" t="s">
        <v>46</v>
      </c>
    </row>
    <row r="43" spans="2:7" hidden="1" x14ac:dyDescent="0.2">
      <c r="B43" s="658">
        <v>1550679.82</v>
      </c>
      <c r="C43" s="655">
        <v>83356289.780000001</v>
      </c>
      <c r="D43" s="651">
        <f t="shared" si="0"/>
        <v>1.8603033125546582E-2</v>
      </c>
      <c r="E43" s="652">
        <f t="shared" si="1"/>
        <v>0.24755465392112264</v>
      </c>
      <c r="F43" s="653">
        <v>2008</v>
      </c>
      <c r="G43" s="654" t="s">
        <v>47</v>
      </c>
    </row>
    <row r="44" spans="2:7" hidden="1" x14ac:dyDescent="0.2">
      <c r="B44" s="658">
        <v>1724265.29</v>
      </c>
      <c r="C44" s="655">
        <v>80507437.685400084</v>
      </c>
      <c r="D44" s="651">
        <f t="shared" si="0"/>
        <v>2.1417465759349254E-2</v>
      </c>
      <c r="E44" s="652">
        <f t="shared" si="1"/>
        <v>0.28955347997614811</v>
      </c>
      <c r="F44" s="653">
        <v>2008</v>
      </c>
      <c r="G44" s="654" t="s">
        <v>48</v>
      </c>
    </row>
    <row r="45" spans="2:7" x14ac:dyDescent="0.2">
      <c r="B45" s="658">
        <v>1988703.92</v>
      </c>
      <c r="C45" s="655">
        <v>78816253.586900041</v>
      </c>
      <c r="D45" s="651">
        <f t="shared" si="0"/>
        <v>2.5232154910881734E-2</v>
      </c>
      <c r="E45" s="652">
        <f t="shared" si="1"/>
        <v>0.34854866944569984</v>
      </c>
      <c r="F45" s="653">
        <v>2008</v>
      </c>
      <c r="G45" s="654" t="s">
        <v>49</v>
      </c>
    </row>
    <row r="46" spans="2:7" x14ac:dyDescent="0.2">
      <c r="B46" s="658">
        <v>272841.71000000002</v>
      </c>
      <c r="C46" s="655">
        <v>78180530.409999996</v>
      </c>
      <c r="D46" s="651">
        <f t="shared" si="0"/>
        <v>3.489893309359041E-3</v>
      </c>
      <c r="E46" s="652">
        <f t="shared" si="1"/>
        <v>4.2691982024289921E-2</v>
      </c>
      <c r="F46" s="653">
        <v>2009</v>
      </c>
      <c r="G46" s="654" t="s">
        <v>50</v>
      </c>
    </row>
    <row r="47" spans="2:7" hidden="1" x14ac:dyDescent="0.2">
      <c r="B47" s="658">
        <v>1647238.39</v>
      </c>
      <c r="C47" s="655">
        <v>75850599.620000005</v>
      </c>
      <c r="D47" s="651">
        <f t="shared" si="0"/>
        <v>2.1716880265316481E-2</v>
      </c>
      <c r="E47" s="652">
        <f t="shared" si="1"/>
        <v>0.29409697934300971</v>
      </c>
      <c r="F47" s="653">
        <v>2009</v>
      </c>
      <c r="G47" s="654" t="s">
        <v>51</v>
      </c>
    </row>
    <row r="48" spans="2:7" hidden="1" x14ac:dyDescent="0.2">
      <c r="B48" s="658">
        <v>706838.81</v>
      </c>
      <c r="C48" s="655">
        <v>74289129.268300012</v>
      </c>
      <c r="D48" s="651">
        <f t="shared" si="0"/>
        <v>9.5147004273963935E-3</v>
      </c>
      <c r="E48" s="652">
        <f t="shared" si="1"/>
        <v>0.12034497248375842</v>
      </c>
      <c r="F48" s="653">
        <v>2009</v>
      </c>
      <c r="G48" s="654" t="s">
        <v>52</v>
      </c>
    </row>
    <row r="49" spans="2:7" hidden="1" x14ac:dyDescent="0.2">
      <c r="B49" s="658">
        <v>754255.79</v>
      </c>
      <c r="C49" s="655">
        <v>72969602.370000005</v>
      </c>
      <c r="D49" s="651">
        <f t="shared" si="0"/>
        <v>1.0336575306734812E-2</v>
      </c>
      <c r="E49" s="652">
        <f t="shared" si="1"/>
        <v>0.1313393752041927</v>
      </c>
      <c r="F49" s="653">
        <v>2009</v>
      </c>
      <c r="G49" s="654" t="s">
        <v>53</v>
      </c>
    </row>
    <row r="50" spans="2:7" hidden="1" x14ac:dyDescent="0.2">
      <c r="B50" s="658">
        <v>967099.42</v>
      </c>
      <c r="C50" s="655">
        <v>70880607.069999993</v>
      </c>
      <c r="D50" s="651">
        <f t="shared" si="0"/>
        <v>1.3644062317989401E-2</v>
      </c>
      <c r="E50" s="652">
        <f t="shared" si="1"/>
        <v>0.17659166833872475</v>
      </c>
      <c r="F50" s="653">
        <v>2009</v>
      </c>
      <c r="G50" s="654" t="s">
        <v>54</v>
      </c>
    </row>
    <row r="51" spans="2:7" hidden="1" x14ac:dyDescent="0.2">
      <c r="B51" s="658">
        <v>460050.51</v>
      </c>
      <c r="C51" s="655">
        <v>69094146.099999994</v>
      </c>
      <c r="D51" s="651">
        <f t="shared" si="0"/>
        <v>6.6583138509906277E-3</v>
      </c>
      <c r="E51" s="652">
        <f t="shared" si="1"/>
        <v>8.2891677480419812E-2</v>
      </c>
      <c r="F51" s="653">
        <v>2009</v>
      </c>
      <c r="G51" s="654" t="s">
        <v>55</v>
      </c>
    </row>
    <row r="52" spans="2:7" hidden="1" x14ac:dyDescent="0.2">
      <c r="B52" s="658">
        <v>514798.36</v>
      </c>
      <c r="C52" s="655">
        <v>67453337.599999994</v>
      </c>
      <c r="D52" s="651">
        <f t="shared" si="0"/>
        <v>7.6319182759015921E-3</v>
      </c>
      <c r="E52" s="652">
        <f t="shared" si="1"/>
        <v>9.5526763613373422E-2</v>
      </c>
      <c r="F52" s="653">
        <v>2009</v>
      </c>
      <c r="G52" s="654" t="s">
        <v>44</v>
      </c>
    </row>
    <row r="53" spans="2:7" hidden="1" x14ac:dyDescent="0.2">
      <c r="B53" s="658">
        <v>691373.45</v>
      </c>
      <c r="C53" s="655">
        <v>66470935.090000004</v>
      </c>
      <c r="D53" s="651">
        <f t="shared" si="0"/>
        <v>1.0401139220681902E-2</v>
      </c>
      <c r="E53" s="652">
        <f t="shared" si="1"/>
        <v>0.13220723699856829</v>
      </c>
      <c r="F53" s="653">
        <v>2009</v>
      </c>
      <c r="G53" s="654" t="s">
        <v>45</v>
      </c>
    </row>
    <row r="54" spans="2:7" hidden="1" x14ac:dyDescent="0.2">
      <c r="B54" s="658">
        <v>353609.00559999997</v>
      </c>
      <c r="C54" s="655">
        <v>67100504.173299991</v>
      </c>
      <c r="D54" s="651">
        <f t="shared" si="0"/>
        <v>5.269841262097473E-3</v>
      </c>
      <c r="E54" s="652">
        <f t="shared" si="1"/>
        <v>6.5103578116199268E-2</v>
      </c>
      <c r="F54" s="653">
        <v>2009</v>
      </c>
      <c r="G54" s="654" t="s">
        <v>46</v>
      </c>
    </row>
    <row r="55" spans="2:7" hidden="1" x14ac:dyDescent="0.2">
      <c r="B55" s="658">
        <v>638788.92690000031</v>
      </c>
      <c r="C55" s="655">
        <v>65912589.372299984</v>
      </c>
      <c r="D55" s="651">
        <f t="shared" si="0"/>
        <v>9.6914555016473641E-3</v>
      </c>
      <c r="E55" s="652">
        <f t="shared" si="1"/>
        <v>0.12270116364549688</v>
      </c>
      <c r="F55" s="653">
        <v>2009</v>
      </c>
      <c r="G55" s="654" t="s">
        <v>47</v>
      </c>
    </row>
    <row r="56" spans="2:7" hidden="1" x14ac:dyDescent="0.2">
      <c r="B56" s="658">
        <v>326337.6911</v>
      </c>
      <c r="C56" s="655">
        <v>64785916.348900013</v>
      </c>
      <c r="D56" s="651">
        <v>5.0371702600073018E-3</v>
      </c>
      <c r="E56" s="652">
        <v>6.2149105820386463E-2</v>
      </c>
      <c r="F56" s="653">
        <v>2009</v>
      </c>
      <c r="G56" s="654" t="s">
        <v>48</v>
      </c>
    </row>
    <row r="57" spans="2:7" x14ac:dyDescent="0.2">
      <c r="B57" s="658">
        <v>991554.45650000009</v>
      </c>
      <c r="C57" s="655">
        <v>64374871.091099955</v>
      </c>
      <c r="D57" s="651">
        <v>1.5402818517442995E-2</v>
      </c>
      <c r="E57" s="652">
        <v>0.20132461228155374</v>
      </c>
      <c r="F57" s="653">
        <v>2009</v>
      </c>
      <c r="G57" s="654" t="s">
        <v>49</v>
      </c>
    </row>
    <row r="58" spans="2:7" x14ac:dyDescent="0.2">
      <c r="B58" s="658">
        <v>797803.00719999988</v>
      </c>
      <c r="C58" s="655">
        <v>63186462.405299976</v>
      </c>
      <c r="D58" s="651">
        <v>1.2626169860287691E-2</v>
      </c>
      <c r="E58" s="652">
        <v>0.16249143802621147</v>
      </c>
      <c r="F58" s="653">
        <v>2010</v>
      </c>
      <c r="G58" s="654" t="s">
        <v>50</v>
      </c>
    </row>
    <row r="59" spans="2:7" hidden="1" x14ac:dyDescent="0.2">
      <c r="B59" s="658">
        <v>503055.21</v>
      </c>
      <c r="C59" s="655">
        <v>62407709.000800006</v>
      </c>
      <c r="D59" s="651">
        <v>8.0607863684525154E-3</v>
      </c>
      <c r="E59" s="652">
        <v>0.1011352149277418</v>
      </c>
      <c r="F59" s="653">
        <v>2010</v>
      </c>
      <c r="G59" s="654" t="s">
        <v>51</v>
      </c>
    </row>
    <row r="60" spans="2:7" hidden="1" x14ac:dyDescent="0.2">
      <c r="B60" s="658">
        <v>651966.74</v>
      </c>
      <c r="C60" s="655">
        <v>61747501.856599994</v>
      </c>
      <c r="D60" s="651">
        <v>1.0558592985900908E-2</v>
      </c>
      <c r="E60" s="652">
        <v>0.13432627456143709</v>
      </c>
      <c r="F60" s="653">
        <v>2010</v>
      </c>
      <c r="G60" s="654" t="s">
        <v>52</v>
      </c>
    </row>
    <row r="61" spans="2:7" hidden="1" x14ac:dyDescent="0.2">
      <c r="B61" s="658">
        <v>295106.83860000013</v>
      </c>
      <c r="C61" s="655">
        <v>60810565.855899982</v>
      </c>
      <c r="D61" s="651">
        <v>4.8528875606798551E-3</v>
      </c>
      <c r="E61" s="652">
        <v>5.9814404942084121E-2</v>
      </c>
      <c r="F61" s="653">
        <v>2010</v>
      </c>
      <c r="G61" s="654" t="s">
        <v>53</v>
      </c>
    </row>
    <row r="62" spans="2:7" hidden="1" x14ac:dyDescent="0.2">
      <c r="B62" s="658">
        <v>159999.61500000002</v>
      </c>
      <c r="C62" s="655">
        <v>59866296.107500009</v>
      </c>
      <c r="D62" s="651">
        <v>2.672615902488669E-3</v>
      </c>
      <c r="E62" s="652">
        <v>3.2547045829675048E-2</v>
      </c>
      <c r="F62" s="653">
        <v>2010</v>
      </c>
      <c r="G62" s="654" t="s">
        <v>54</v>
      </c>
    </row>
    <row r="63" spans="2:7" hidden="1" x14ac:dyDescent="0.2">
      <c r="B63" s="658">
        <v>941394.1324</v>
      </c>
      <c r="C63" s="655">
        <v>58632120.740999989</v>
      </c>
      <c r="D63" s="651">
        <v>1.6055945452808879E-2</v>
      </c>
      <c r="E63" s="652">
        <v>0.21063007200778139</v>
      </c>
      <c r="F63" s="653">
        <v>2010</v>
      </c>
      <c r="G63" s="654" t="s">
        <v>55</v>
      </c>
    </row>
    <row r="64" spans="2:7" hidden="1" x14ac:dyDescent="0.2">
      <c r="B64" s="658">
        <v>78454.03</v>
      </c>
      <c r="C64" s="655">
        <v>57955900.595900036</v>
      </c>
      <c r="D64" s="651">
        <v>1.3536849430918869E-3</v>
      </c>
      <c r="E64" s="652">
        <v>1.6365709262983419E-2</v>
      </c>
      <c r="F64" s="653">
        <v>2010</v>
      </c>
      <c r="G64" s="654" t="s">
        <v>44</v>
      </c>
    </row>
    <row r="65" spans="2:7" hidden="1" x14ac:dyDescent="0.2">
      <c r="B65" s="658">
        <v>503530.31659999967</v>
      </c>
      <c r="C65" s="655">
        <v>56533412.696499981</v>
      </c>
      <c r="D65" s="651">
        <v>8.9067737570205727E-3</v>
      </c>
      <c r="E65" s="652">
        <v>0.11227571356040955</v>
      </c>
      <c r="F65" s="653">
        <v>2010</v>
      </c>
      <c r="G65" s="654" t="s">
        <v>45</v>
      </c>
    </row>
    <row r="66" spans="2:7" hidden="1" x14ac:dyDescent="0.2">
      <c r="B66" s="658">
        <v>194939.84</v>
      </c>
      <c r="C66" s="655">
        <v>55750103.883899972</v>
      </c>
      <c r="D66" s="651">
        <v>3.4966722287363577E-3</v>
      </c>
      <c r="E66" s="652">
        <v>4.277651008047334E-2</v>
      </c>
      <c r="F66" s="653">
        <v>2010</v>
      </c>
      <c r="G66" s="654" t="s">
        <v>46</v>
      </c>
    </row>
    <row r="67" spans="2:7" hidden="1" x14ac:dyDescent="0.2">
      <c r="B67" s="658">
        <v>554922.20620000002</v>
      </c>
      <c r="C67" s="655">
        <v>54400449.449199997</v>
      </c>
      <c r="D67" s="651">
        <v>1.0200691571825985E-2</v>
      </c>
      <c r="E67" s="652">
        <v>0.12951483129222208</v>
      </c>
      <c r="F67" s="653">
        <v>2010</v>
      </c>
      <c r="G67" s="654" t="s">
        <v>47</v>
      </c>
    </row>
    <row r="68" spans="2:7" hidden="1" x14ac:dyDescent="0.2">
      <c r="B68" s="658">
        <v>797697.45760000008</v>
      </c>
      <c r="C68" s="655">
        <v>53184222.910900019</v>
      </c>
      <c r="D68" s="651">
        <v>1.4998761172770906E-2</v>
      </c>
      <c r="E68" s="652">
        <v>0.19560066027646794</v>
      </c>
      <c r="F68" s="653">
        <v>2010</v>
      </c>
      <c r="G68" s="654" t="s">
        <v>48</v>
      </c>
    </row>
    <row r="69" spans="2:7" x14ac:dyDescent="0.2">
      <c r="B69" s="658">
        <v>830697.82</v>
      </c>
      <c r="C69" s="655">
        <v>52188903.901400015</v>
      </c>
      <c r="D69" s="651">
        <v>1.5917134829453963E-2</v>
      </c>
      <c r="E69" s="652">
        <v>0.20864684930032706</v>
      </c>
      <c r="F69" s="653">
        <v>2010</v>
      </c>
      <c r="G69" s="654" t="s">
        <v>49</v>
      </c>
    </row>
    <row r="70" spans="2:7" x14ac:dyDescent="0.2">
      <c r="B70" s="658">
        <v>462523.22859999997</v>
      </c>
      <c r="C70" s="655">
        <v>51669174.466000006</v>
      </c>
      <c r="D70" s="651">
        <v>8.9516279944506418E-3</v>
      </c>
      <c r="E70" s="652">
        <v>0.11286925676469761</v>
      </c>
      <c r="F70" s="653">
        <v>2011</v>
      </c>
      <c r="G70" s="654" t="s">
        <v>50</v>
      </c>
    </row>
    <row r="71" spans="2:7" hidden="1" x14ac:dyDescent="0.2">
      <c r="B71" s="658">
        <v>843532.55579999997</v>
      </c>
      <c r="C71" s="655">
        <v>50239042.811000012</v>
      </c>
      <c r="D71" s="651">
        <v>1.6790378729415315E-2</v>
      </c>
      <c r="E71" s="652">
        <v>0.22117284161379591</v>
      </c>
      <c r="F71" s="653">
        <v>2011</v>
      </c>
      <c r="G71" s="654" t="s">
        <v>51</v>
      </c>
    </row>
    <row r="72" spans="2:7" hidden="1" x14ac:dyDescent="0.2">
      <c r="B72" s="658">
        <v>654212.14999999991</v>
      </c>
      <c r="C72" s="655">
        <v>48787734.240000002</v>
      </c>
      <c r="D72" s="651">
        <v>1.3409357089258422E-2</v>
      </c>
      <c r="E72" s="652">
        <v>0.17332660734729277</v>
      </c>
      <c r="F72" s="653">
        <v>2011</v>
      </c>
      <c r="G72" s="654" t="s">
        <v>52</v>
      </c>
    </row>
    <row r="73" spans="2:7" hidden="1" x14ac:dyDescent="0.2">
      <c r="B73" s="658">
        <v>429033.21</v>
      </c>
      <c r="C73" s="655">
        <v>47709490.680000022</v>
      </c>
      <c r="D73" s="651">
        <v>8.9926176927277949E-3</v>
      </c>
      <c r="E73" s="652">
        <v>0.11341191551415664</v>
      </c>
      <c r="F73" s="653">
        <v>2011</v>
      </c>
      <c r="G73" s="654" t="s">
        <v>53</v>
      </c>
    </row>
    <row r="74" spans="2:7" hidden="1" x14ac:dyDescent="0.2">
      <c r="B74" s="658">
        <v>279679.08999999997</v>
      </c>
      <c r="C74" s="655">
        <v>46833686.590000018</v>
      </c>
      <c r="D74" s="651">
        <v>5.9717504720142476E-3</v>
      </c>
      <c r="E74" s="652">
        <v>7.4062172235241031E-2</v>
      </c>
      <c r="F74" s="653">
        <v>2011</v>
      </c>
      <c r="G74" s="654" t="s">
        <v>54</v>
      </c>
    </row>
    <row r="75" spans="2:7" hidden="1" x14ac:dyDescent="0.2">
      <c r="B75" s="658">
        <v>332402.4200000001</v>
      </c>
      <c r="C75" s="655">
        <v>45875433.12000002</v>
      </c>
      <c r="D75" s="651">
        <v>7.2457609093413604E-3</v>
      </c>
      <c r="E75" s="652">
        <v>9.049927085316245E-2</v>
      </c>
      <c r="F75" s="653">
        <v>2011</v>
      </c>
      <c r="G75" s="654" t="s">
        <v>55</v>
      </c>
    </row>
    <row r="76" spans="2:7" hidden="1" x14ac:dyDescent="0.2">
      <c r="B76" s="658">
        <v>230378.91</v>
      </c>
      <c r="C76" s="655">
        <v>44953467.929999985</v>
      </c>
      <c r="D76" s="651">
        <v>5.1248306439614011E-3</v>
      </c>
      <c r="E76" s="652">
        <v>6.3261340230076124E-2</v>
      </c>
      <c r="F76" s="653">
        <v>2011</v>
      </c>
      <c r="G76" s="654" t="s">
        <v>44</v>
      </c>
    </row>
    <row r="77" spans="2:7" hidden="1" x14ac:dyDescent="0.2">
      <c r="B77" s="658">
        <v>614596.38</v>
      </c>
      <c r="C77" s="655">
        <v>43674962.440000013</v>
      </c>
      <c r="D77" s="651">
        <v>1.407205285738535E-2</v>
      </c>
      <c r="E77" s="652">
        <v>0.18256703414385211</v>
      </c>
      <c r="F77" s="653">
        <v>2011</v>
      </c>
      <c r="G77" s="654" t="s">
        <v>45</v>
      </c>
    </row>
    <row r="78" spans="2:7" hidden="1" x14ac:dyDescent="0.2">
      <c r="B78" s="658">
        <v>460585.98000000004</v>
      </c>
      <c r="C78" s="655">
        <v>42788811.509999998</v>
      </c>
      <c r="D78" s="651">
        <v>1.0764168569915956E-2</v>
      </c>
      <c r="E78" s="652">
        <v>0.1370984150771799</v>
      </c>
      <c r="F78" s="653">
        <v>2011</v>
      </c>
      <c r="G78" s="654" t="s">
        <v>46</v>
      </c>
    </row>
    <row r="79" spans="2:7" hidden="1" x14ac:dyDescent="0.2">
      <c r="B79" s="658">
        <v>399108.37000000011</v>
      </c>
      <c r="C79" s="655">
        <v>42253736.149999984</v>
      </c>
      <c r="D79" s="651">
        <f>+B79/C79</f>
        <v>9.4455166895342172E-3</v>
      </c>
      <c r="E79" s="652">
        <f>(((B79/C79) +1)^12)-1</f>
        <v>0.11942397021288831</v>
      </c>
      <c r="F79" s="653">
        <v>2011</v>
      </c>
      <c r="G79" s="654" t="s">
        <v>47</v>
      </c>
    </row>
    <row r="80" spans="2:7" hidden="1" x14ac:dyDescent="0.2">
      <c r="B80" s="658">
        <v>389323.49</v>
      </c>
      <c r="C80" s="655">
        <v>42292478.900000036</v>
      </c>
      <c r="D80" s="651">
        <v>9.2055017848575362E-3</v>
      </c>
      <c r="E80" s="652">
        <v>0.11623417122805946</v>
      </c>
      <c r="F80" s="653">
        <v>2011</v>
      </c>
      <c r="G80" s="654" t="s">
        <v>48</v>
      </c>
    </row>
    <row r="81" spans="2:7" x14ac:dyDescent="0.2">
      <c r="B81" s="658">
        <v>380942.88999999996</v>
      </c>
      <c r="C81" s="655">
        <v>41144874.429999977</v>
      </c>
      <c r="D81" s="651">
        <v>9.2585746165807451E-3</v>
      </c>
      <c r="E81" s="652">
        <v>0.11693879100492599</v>
      </c>
      <c r="F81" s="653">
        <v>2011</v>
      </c>
      <c r="G81" s="654" t="s">
        <v>49</v>
      </c>
    </row>
    <row r="82" spans="2:7" x14ac:dyDescent="0.2">
      <c r="B82" s="658">
        <v>141114.16000000003</v>
      </c>
      <c r="C82" s="655">
        <v>40669303.876699999</v>
      </c>
      <c r="D82" s="651">
        <v>3.4697953136307866E-3</v>
      </c>
      <c r="E82" s="652">
        <v>4.2441411958042297E-2</v>
      </c>
      <c r="F82" s="653">
        <v>2012</v>
      </c>
      <c r="G82" s="654" t="s">
        <v>50</v>
      </c>
    </row>
    <row r="83" spans="2:7" hidden="1" x14ac:dyDescent="0.2">
      <c r="B83" s="658">
        <v>660176.17000000004</v>
      </c>
      <c r="C83" s="655">
        <v>39541842.626700014</v>
      </c>
      <c r="D83" s="651">
        <v>1.6695634956430339E-2</v>
      </c>
      <c r="E83" s="652">
        <v>0.21980808542275487</v>
      </c>
      <c r="F83" s="653">
        <v>2012</v>
      </c>
      <c r="G83" s="654" t="s">
        <v>56</v>
      </c>
    </row>
    <row r="84" spans="2:7" hidden="1" x14ac:dyDescent="0.2">
      <c r="B84" s="658">
        <v>451137.50000000006</v>
      </c>
      <c r="C84" s="655">
        <v>38939073.046700016</v>
      </c>
      <c r="D84" s="651">
        <v>1.158572777166386E-2</v>
      </c>
      <c r="E84" s="652">
        <v>0.14823907045592111</v>
      </c>
      <c r="F84" s="653">
        <v>2012</v>
      </c>
      <c r="G84" s="654" t="s">
        <v>52</v>
      </c>
    </row>
    <row r="85" spans="2:7" hidden="1" x14ac:dyDescent="0.2">
      <c r="B85" s="658">
        <v>996368.2</v>
      </c>
      <c r="C85" s="655">
        <v>37571754.116700009</v>
      </c>
      <c r="D85" s="651">
        <v>2.6519075923504224E-2</v>
      </c>
      <c r="E85" s="652">
        <v>0.36900265981224201</v>
      </c>
      <c r="F85" s="653">
        <v>2012</v>
      </c>
      <c r="G85" s="654" t="s">
        <v>53</v>
      </c>
    </row>
    <row r="86" spans="2:7" hidden="1" x14ac:dyDescent="0.2">
      <c r="B86" s="658">
        <v>543286.48</v>
      </c>
      <c r="C86" s="655">
        <v>36881423.206700005</v>
      </c>
      <c r="D86" s="651">
        <v>1.473062676988302E-2</v>
      </c>
      <c r="E86" s="652">
        <v>0.19181602955749288</v>
      </c>
      <c r="F86" s="653">
        <v>2012</v>
      </c>
      <c r="G86" s="654" t="s">
        <v>54</v>
      </c>
    </row>
    <row r="87" spans="2:7" hidden="1" x14ac:dyDescent="0.2">
      <c r="B87" s="658">
        <v>829111.17000000039</v>
      </c>
      <c r="C87" s="655">
        <v>36475394.476700008</v>
      </c>
      <c r="D87" s="651">
        <f t="shared" ref="D87:D117" si="2">+B87/C87</f>
        <v>2.2730697827808975E-2</v>
      </c>
      <c r="E87" s="652">
        <v>0.30959045426729515</v>
      </c>
      <c r="F87" s="653">
        <v>2012</v>
      </c>
      <c r="G87" s="654" t="s">
        <v>55</v>
      </c>
    </row>
    <row r="88" spans="2:7" hidden="1" x14ac:dyDescent="0.2">
      <c r="B88" s="658">
        <v>377088.34</v>
      </c>
      <c r="C88" s="655">
        <v>35232616.726699993</v>
      </c>
      <c r="D88" s="651">
        <f t="shared" si="2"/>
        <v>1.0702819575539356E-2</v>
      </c>
      <c r="E88" s="652">
        <f t="shared" ref="E88:E113" si="3">(((B88/C88) +1)^12)-1</f>
        <v>0.13627048828482824</v>
      </c>
      <c r="F88" s="653">
        <v>2012</v>
      </c>
      <c r="G88" s="654" t="s">
        <v>44</v>
      </c>
    </row>
    <row r="89" spans="2:7" hidden="1" x14ac:dyDescent="0.2">
      <c r="B89" s="658">
        <v>456864.01</v>
      </c>
      <c r="C89" s="655">
        <v>14943549.376700001</v>
      </c>
      <c r="D89" s="651">
        <f t="shared" si="2"/>
        <v>3.0572657036376037E-2</v>
      </c>
      <c r="E89" s="652">
        <f t="shared" si="3"/>
        <v>0.4353023234452329</v>
      </c>
      <c r="F89" s="653">
        <v>2012</v>
      </c>
      <c r="G89" s="654" t="s">
        <v>45</v>
      </c>
    </row>
    <row r="90" spans="2:7" hidden="1" x14ac:dyDescent="0.2">
      <c r="B90" s="658">
        <v>286095.15000000002</v>
      </c>
      <c r="C90" s="655">
        <v>34503087.640000001</v>
      </c>
      <c r="D90" s="651">
        <f t="shared" si="2"/>
        <v>8.2918709474663118E-3</v>
      </c>
      <c r="E90" s="652">
        <f t="shared" si="3"/>
        <v>0.10416808478039785</v>
      </c>
      <c r="F90" s="653">
        <v>2012</v>
      </c>
      <c r="G90" s="654" t="s">
        <v>46</v>
      </c>
    </row>
    <row r="91" spans="2:7" hidden="1" x14ac:dyDescent="0.2">
      <c r="B91" s="658">
        <v>210014.16</v>
      </c>
      <c r="C91" s="655">
        <v>34867783.950000003</v>
      </c>
      <c r="D91" s="651">
        <f t="shared" si="2"/>
        <v>6.0231576604110508E-3</v>
      </c>
      <c r="E91" s="652">
        <f t="shared" si="3"/>
        <v>7.4720998342940437E-2</v>
      </c>
      <c r="F91" s="653">
        <v>2012</v>
      </c>
      <c r="G91" s="654" t="s">
        <v>47</v>
      </c>
    </row>
    <row r="92" spans="2:7" hidden="1" x14ac:dyDescent="0.2">
      <c r="B92" s="658">
        <v>33408.82</v>
      </c>
      <c r="C92" s="655">
        <v>34207261.689999998</v>
      </c>
      <c r="D92" s="651">
        <f t="shared" si="2"/>
        <v>9.7665870781368596E-4</v>
      </c>
      <c r="E92" s="652">
        <f t="shared" si="3"/>
        <v>1.1783064803657428E-2</v>
      </c>
      <c r="F92" s="653">
        <v>2012</v>
      </c>
      <c r="G92" s="654" t="s">
        <v>48</v>
      </c>
    </row>
    <row r="93" spans="2:7" x14ac:dyDescent="0.2">
      <c r="B93" s="658">
        <v>87532.99</v>
      </c>
      <c r="C93" s="655">
        <v>33929127.840000004</v>
      </c>
      <c r="D93" s="651">
        <f t="shared" si="2"/>
        <v>2.5798773965773707E-3</v>
      </c>
      <c r="E93" s="652">
        <f t="shared" si="3"/>
        <v>3.1401609059050983E-2</v>
      </c>
      <c r="F93" s="653">
        <v>2012</v>
      </c>
      <c r="G93" s="654" t="s">
        <v>49</v>
      </c>
    </row>
    <row r="94" spans="2:7" x14ac:dyDescent="0.2">
      <c r="B94" s="658">
        <v>495675.47</v>
      </c>
      <c r="C94" s="655">
        <v>33312062.050000001</v>
      </c>
      <c r="D94" s="651">
        <f t="shared" si="2"/>
        <v>1.4879759447374108E-2</v>
      </c>
      <c r="E94" s="652">
        <f t="shared" si="3"/>
        <v>0.19391963165448756</v>
      </c>
      <c r="F94" s="653">
        <v>2013</v>
      </c>
      <c r="G94" s="654" t="s">
        <v>50</v>
      </c>
    </row>
    <row r="95" spans="2:7" hidden="1" x14ac:dyDescent="0.2">
      <c r="B95" s="658">
        <v>247836.99</v>
      </c>
      <c r="C95" s="655">
        <v>33054299.820000015</v>
      </c>
      <c r="D95" s="651">
        <f t="shared" si="2"/>
        <v>7.4978744474884437E-3</v>
      </c>
      <c r="E95" s="652">
        <f t="shared" si="3"/>
        <v>9.3779206351624733E-2</v>
      </c>
      <c r="F95" s="653">
        <v>2013</v>
      </c>
      <c r="G95" s="654" t="s">
        <v>51</v>
      </c>
    </row>
    <row r="96" spans="2:7" hidden="1" x14ac:dyDescent="0.2">
      <c r="B96" s="658">
        <v>685929.7300000001</v>
      </c>
      <c r="C96" s="655">
        <v>32363511.120000023</v>
      </c>
      <c r="D96" s="651">
        <f t="shared" si="2"/>
        <v>2.1194539969926464E-2</v>
      </c>
      <c r="E96" s="652">
        <f t="shared" si="3"/>
        <v>0.28618016896407039</v>
      </c>
      <c r="F96" s="653">
        <v>2013</v>
      </c>
      <c r="G96" s="654" t="s">
        <v>52</v>
      </c>
    </row>
    <row r="97" spans="2:7" hidden="1" x14ac:dyDescent="0.2">
      <c r="B97" s="658">
        <v>372532.82999999996</v>
      </c>
      <c r="C97" s="655">
        <v>31897444.609999999</v>
      </c>
      <c r="D97" s="651">
        <f t="shared" si="2"/>
        <v>1.167908070865367E-2</v>
      </c>
      <c r="E97" s="652">
        <f t="shared" si="3"/>
        <v>0.14951128191057994</v>
      </c>
      <c r="F97" s="653">
        <v>2013</v>
      </c>
      <c r="G97" s="654" t="s">
        <v>53</v>
      </c>
    </row>
    <row r="98" spans="2:7" hidden="1" x14ac:dyDescent="0.2">
      <c r="B98" s="658">
        <v>549649.28999999992</v>
      </c>
      <c r="C98" s="655">
        <v>31430751.780000001</v>
      </c>
      <c r="D98" s="651">
        <f t="shared" si="2"/>
        <v>1.7487627844452402E-2</v>
      </c>
      <c r="E98" s="652">
        <f t="shared" si="3"/>
        <v>0.23125964469545002</v>
      </c>
      <c r="F98" s="653">
        <v>2013</v>
      </c>
      <c r="G98" s="654" t="s">
        <v>54</v>
      </c>
    </row>
    <row r="99" spans="2:7" hidden="1" x14ac:dyDescent="0.2">
      <c r="B99" s="658">
        <v>200947.68000000005</v>
      </c>
      <c r="C99" s="655">
        <v>30963130.869999994</v>
      </c>
      <c r="D99" s="651">
        <f t="shared" si="2"/>
        <v>6.4899018398264481E-3</v>
      </c>
      <c r="E99" s="652">
        <f t="shared" si="3"/>
        <v>8.0719688252270716E-2</v>
      </c>
      <c r="F99" s="653">
        <v>2013</v>
      </c>
      <c r="G99" s="654" t="s">
        <v>55</v>
      </c>
    </row>
    <row r="100" spans="2:7" hidden="1" x14ac:dyDescent="0.2">
      <c r="B100" s="658">
        <v>176425.33999999997</v>
      </c>
      <c r="C100" s="655">
        <v>30427214.890000008</v>
      </c>
      <c r="D100" s="651">
        <f t="shared" si="2"/>
        <v>5.7982743618766978E-3</v>
      </c>
      <c r="E100" s="652">
        <f t="shared" si="3"/>
        <v>7.1841662454703137E-2</v>
      </c>
      <c r="F100" s="653">
        <v>2013</v>
      </c>
      <c r="G100" s="654" t="s">
        <v>44</v>
      </c>
    </row>
    <row r="101" spans="2:7" hidden="1" x14ac:dyDescent="0.2">
      <c r="B101" s="658">
        <v>459416.62</v>
      </c>
      <c r="C101" s="655">
        <v>29345593.019999988</v>
      </c>
      <c r="D101" s="651">
        <f t="shared" si="2"/>
        <v>1.5655387154278749E-2</v>
      </c>
      <c r="E101" s="652">
        <f t="shared" si="3"/>
        <v>0.20491529392728469</v>
      </c>
      <c r="F101" s="653">
        <v>2013</v>
      </c>
      <c r="G101" s="654" t="s">
        <v>45</v>
      </c>
    </row>
    <row r="102" spans="2:7" hidden="1" x14ac:dyDescent="0.2">
      <c r="B102" s="658">
        <v>534264.78999999992</v>
      </c>
      <c r="C102" s="655">
        <v>28786580.230000015</v>
      </c>
      <c r="D102" s="651">
        <f t="shared" si="2"/>
        <v>1.8559508831244024E-2</v>
      </c>
      <c r="E102" s="652">
        <f t="shared" si="3"/>
        <v>0.24691511712317493</v>
      </c>
      <c r="F102" s="653">
        <v>2013</v>
      </c>
      <c r="G102" s="654" t="s">
        <v>46</v>
      </c>
    </row>
    <row r="103" spans="2:7" hidden="1" x14ac:dyDescent="0.2">
      <c r="B103" s="658">
        <v>452426.32000000007</v>
      </c>
      <c r="C103" s="655">
        <v>28397374.880000003</v>
      </c>
      <c r="D103" s="651">
        <f t="shared" si="2"/>
        <v>1.5931976878561391E-2</v>
      </c>
      <c r="E103" s="652">
        <f t="shared" si="3"/>
        <v>0.20885875915126917</v>
      </c>
      <c r="F103" s="653">
        <v>2013</v>
      </c>
      <c r="G103" s="654" t="s">
        <v>47</v>
      </c>
    </row>
    <row r="104" spans="2:7" hidden="1" x14ac:dyDescent="0.2">
      <c r="B104" s="658">
        <v>560586.45000000007</v>
      </c>
      <c r="C104" s="655">
        <v>27516946.129999992</v>
      </c>
      <c r="D104" s="651">
        <f t="shared" si="2"/>
        <v>2.0372407873736686E-2</v>
      </c>
      <c r="E104" s="652">
        <f t="shared" si="3"/>
        <v>0.27380947466554795</v>
      </c>
      <c r="F104" s="653">
        <v>2013</v>
      </c>
      <c r="G104" s="654" t="s">
        <v>48</v>
      </c>
    </row>
    <row r="105" spans="2:7" x14ac:dyDescent="0.2">
      <c r="B105" s="658">
        <v>459978.6</v>
      </c>
      <c r="C105" s="655">
        <v>26970355.660000034</v>
      </c>
      <c r="D105" s="651">
        <f t="shared" si="2"/>
        <v>1.7054969752668046E-2</v>
      </c>
      <c r="E105" s="652">
        <f t="shared" si="3"/>
        <v>0.2249916135843526</v>
      </c>
      <c r="F105" s="653">
        <v>2013</v>
      </c>
      <c r="G105" s="654" t="s">
        <v>49</v>
      </c>
    </row>
    <row r="106" spans="2:7" x14ac:dyDescent="0.2">
      <c r="B106" s="658">
        <v>213170.88</v>
      </c>
      <c r="C106" s="655">
        <v>26611069.300000001</v>
      </c>
      <c r="D106" s="651">
        <f t="shared" si="2"/>
        <v>8.010609329404136E-3</v>
      </c>
      <c r="E106" s="652">
        <f t="shared" si="3"/>
        <v>0.10047767623352799</v>
      </c>
      <c r="F106" s="653">
        <v>2014</v>
      </c>
      <c r="G106" s="654" t="s">
        <v>50</v>
      </c>
    </row>
    <row r="107" spans="2:7" hidden="1" x14ac:dyDescent="0.2">
      <c r="B107" s="658">
        <v>264814.62</v>
      </c>
      <c r="C107" s="655">
        <v>25995604.130000006</v>
      </c>
      <c r="D107" s="651">
        <f t="shared" si="2"/>
        <v>1.0186900011082755E-2</v>
      </c>
      <c r="E107" s="652">
        <f t="shared" si="3"/>
        <v>0.12932979951121681</v>
      </c>
      <c r="F107" s="653">
        <v>2014</v>
      </c>
      <c r="G107" s="654" t="s">
        <v>51</v>
      </c>
    </row>
    <row r="108" spans="2:7" hidden="1" x14ac:dyDescent="0.2">
      <c r="B108" s="658">
        <v>78396.55</v>
      </c>
      <c r="C108" s="655">
        <v>25502601.25</v>
      </c>
      <c r="D108" s="651">
        <f t="shared" si="2"/>
        <v>3.0740609254516736E-3</v>
      </c>
      <c r="E108" s="652">
        <f t="shared" si="3"/>
        <v>3.7518856536406187E-2</v>
      </c>
      <c r="F108" s="653">
        <v>2014</v>
      </c>
      <c r="G108" s="654" t="s">
        <v>52</v>
      </c>
    </row>
    <row r="109" spans="2:7" hidden="1" x14ac:dyDescent="0.2">
      <c r="B109" s="658">
        <v>268799.24</v>
      </c>
      <c r="C109" s="655">
        <v>25088039.339999992</v>
      </c>
      <c r="D109" s="651">
        <f t="shared" si="2"/>
        <v>1.0714238620131248E-2</v>
      </c>
      <c r="E109" s="652">
        <f t="shared" si="3"/>
        <v>0.13642455054039782</v>
      </c>
      <c r="F109" s="653">
        <v>2014</v>
      </c>
      <c r="G109" s="654" t="s">
        <v>53</v>
      </c>
    </row>
    <row r="110" spans="2:7" hidden="1" x14ac:dyDescent="0.2">
      <c r="B110" s="658">
        <v>413314.28</v>
      </c>
      <c r="C110" s="655">
        <v>23969246.140000012</v>
      </c>
      <c r="D110" s="651">
        <f t="shared" si="2"/>
        <v>1.7243524372268799E-2</v>
      </c>
      <c r="E110" s="652">
        <f t="shared" si="3"/>
        <v>0.2277196489304667</v>
      </c>
      <c r="F110" s="653">
        <v>2014</v>
      </c>
      <c r="G110" s="654" t="s">
        <v>54</v>
      </c>
    </row>
    <row r="111" spans="2:7" hidden="1" x14ac:dyDescent="0.2">
      <c r="B111" s="658">
        <v>227195.57</v>
      </c>
      <c r="C111" s="655">
        <v>23557546.510000005</v>
      </c>
      <c r="D111" s="651">
        <f t="shared" si="2"/>
        <v>9.6442798023791288E-3</v>
      </c>
      <c r="E111" s="652">
        <f t="shared" si="3"/>
        <v>0.12207185531051312</v>
      </c>
      <c r="F111" s="653">
        <v>2014</v>
      </c>
      <c r="G111" s="654" t="s">
        <v>55</v>
      </c>
    </row>
    <row r="112" spans="2:7" hidden="1" x14ac:dyDescent="0.2">
      <c r="B112" s="658">
        <v>190708.2</v>
      </c>
      <c r="C112" s="655">
        <v>23077722.829999998</v>
      </c>
      <c r="D112" s="651">
        <f t="shared" si="2"/>
        <v>8.2637356122540803E-3</v>
      </c>
      <c r="E112" s="652">
        <f t="shared" si="3"/>
        <v>0.10379841358388631</v>
      </c>
      <c r="F112" s="653">
        <v>2014</v>
      </c>
      <c r="G112" s="654" t="s">
        <v>44</v>
      </c>
    </row>
    <row r="113" spans="2:7" hidden="1" x14ac:dyDescent="0.2">
      <c r="B113" s="658">
        <v>412341.44999999995</v>
      </c>
      <c r="C113" s="655">
        <v>22605169.210000001</v>
      </c>
      <c r="D113" s="651">
        <f t="shared" si="2"/>
        <v>1.8241024704101293E-2</v>
      </c>
      <c r="E113" s="652">
        <f t="shared" si="3"/>
        <v>0.242244515975371</v>
      </c>
      <c r="F113" s="653">
        <v>2014</v>
      </c>
      <c r="G113" s="654" t="s">
        <v>45</v>
      </c>
    </row>
    <row r="114" spans="2:7" hidden="1" x14ac:dyDescent="0.2">
      <c r="B114" s="658">
        <v>289463.3</v>
      </c>
      <c r="C114" s="655">
        <v>22175992.090000004</v>
      </c>
      <c r="D114" s="651">
        <f t="shared" si="2"/>
        <v>1.3053003393274566E-2</v>
      </c>
      <c r="E114" s="652">
        <f>(((B114/C114) +1)^12)-1</f>
        <v>0.16838513050197701</v>
      </c>
      <c r="F114" s="653">
        <v>2014</v>
      </c>
      <c r="G114" s="654" t="s">
        <v>46</v>
      </c>
    </row>
    <row r="115" spans="2:7" hidden="1" x14ac:dyDescent="0.2">
      <c r="B115" s="658">
        <v>609502.00999999989</v>
      </c>
      <c r="C115" s="655">
        <v>21357525.419999987</v>
      </c>
      <c r="D115" s="651">
        <f t="shared" si="2"/>
        <v>2.8538044460396119E-2</v>
      </c>
      <c r="E115" s="652">
        <f>(((B115/C115) +1)^12)-1</f>
        <v>0.40166530877104445</v>
      </c>
      <c r="F115" s="653">
        <v>2014</v>
      </c>
      <c r="G115" s="654" t="s">
        <v>47</v>
      </c>
    </row>
    <row r="116" spans="2:7" hidden="1" x14ac:dyDescent="0.2">
      <c r="B116" s="658">
        <v>70339.839999999997</v>
      </c>
      <c r="C116" s="655">
        <v>21372067.22000001</v>
      </c>
      <c r="D116" s="651">
        <f t="shared" si="2"/>
        <v>3.2912043217876406E-3</v>
      </c>
      <c r="E116" s="652">
        <f>(((B116/C116) +1)^12)-1</f>
        <v>4.0217267047084837E-2</v>
      </c>
      <c r="F116" s="653">
        <v>2014</v>
      </c>
      <c r="G116" s="654" t="s">
        <v>48</v>
      </c>
    </row>
    <row r="117" spans="2:7" x14ac:dyDescent="0.2">
      <c r="B117" s="658">
        <v>491346.11000000004</v>
      </c>
      <c r="C117" s="655">
        <v>21127955.79999999</v>
      </c>
      <c r="D117" s="651">
        <f t="shared" si="2"/>
        <v>2.3255733524395212E-2</v>
      </c>
      <c r="E117" s="652">
        <f>(((B117/C117) +1)^12)-1</f>
        <v>0.31768087097379438</v>
      </c>
      <c r="F117" s="653">
        <v>2014</v>
      </c>
      <c r="G117" s="654" t="s">
        <v>49</v>
      </c>
    </row>
    <row r="118" spans="2:7" x14ac:dyDescent="0.2">
      <c r="B118" s="658">
        <v>146207.30000000002</v>
      </c>
      <c r="C118" s="655">
        <v>21174852.569999993</v>
      </c>
      <c r="D118" s="651">
        <f t="shared" ref="D118:D123" si="4">+B118/C118</f>
        <v>6.9047611791707535E-3</v>
      </c>
      <c r="E118" s="652">
        <f t="shared" ref="E118:E123" si="5">(((B118/C118) +1)^12)-1</f>
        <v>8.6077291473312334E-2</v>
      </c>
      <c r="F118" s="653">
        <v>2015</v>
      </c>
      <c r="G118" s="654" t="s">
        <v>50</v>
      </c>
    </row>
    <row r="119" spans="2:7" hidden="1" x14ac:dyDescent="0.2">
      <c r="B119" s="658">
        <v>429198.45</v>
      </c>
      <c r="C119" s="655">
        <v>20424070.549999993</v>
      </c>
      <c r="D119" s="651">
        <f t="shared" si="4"/>
        <v>2.1014344273306486E-2</v>
      </c>
      <c r="E119" s="652">
        <f t="shared" si="5"/>
        <v>0.28345936317016718</v>
      </c>
      <c r="F119" s="653">
        <v>2015</v>
      </c>
      <c r="G119" s="654" t="s">
        <v>51</v>
      </c>
    </row>
    <row r="120" spans="2:7" ht="14.25" hidden="1" customHeight="1" x14ac:dyDescent="0.2">
      <c r="B120" s="658">
        <v>301074.95</v>
      </c>
      <c r="C120" s="655">
        <v>19855758.820000004</v>
      </c>
      <c r="D120" s="651">
        <f t="shared" si="4"/>
        <v>1.5163104705761125E-2</v>
      </c>
      <c r="E120" s="652">
        <f t="shared" si="5"/>
        <v>0.19792575841781845</v>
      </c>
      <c r="F120" s="653">
        <v>2015</v>
      </c>
      <c r="G120" s="654" t="s">
        <v>52</v>
      </c>
    </row>
    <row r="121" spans="2:7" hidden="1" x14ac:dyDescent="0.2">
      <c r="B121" s="658">
        <v>35380.86</v>
      </c>
      <c r="C121" s="655">
        <v>19703059.210000001</v>
      </c>
      <c r="D121" s="651">
        <f t="shared" si="4"/>
        <v>1.7957038865336688E-3</v>
      </c>
      <c r="E121" s="652">
        <f t="shared" si="5"/>
        <v>2.1762546136779415E-2</v>
      </c>
      <c r="F121" s="653">
        <v>2015</v>
      </c>
      <c r="G121" s="654" t="s">
        <v>53</v>
      </c>
    </row>
    <row r="122" spans="2:7" hidden="1" x14ac:dyDescent="0.2">
      <c r="B122" s="658">
        <v>129184.1</v>
      </c>
      <c r="C122" s="655">
        <v>19503360.920000002</v>
      </c>
      <c r="D122" s="651">
        <f t="shared" si="4"/>
        <v>6.6236840168161122E-3</v>
      </c>
      <c r="E122" s="652">
        <f t="shared" si="5"/>
        <v>8.2444734191461588E-2</v>
      </c>
      <c r="F122" s="653">
        <v>2015</v>
      </c>
      <c r="G122" s="654" t="s">
        <v>54</v>
      </c>
    </row>
    <row r="123" spans="2:7" hidden="1" x14ac:dyDescent="0.2">
      <c r="B123" s="658">
        <v>129870.33000000002</v>
      </c>
      <c r="C123" s="655">
        <v>19294214.809999999</v>
      </c>
      <c r="D123" s="651">
        <f t="shared" si="4"/>
        <v>6.7310502800398764E-3</v>
      </c>
      <c r="E123" s="652">
        <f t="shared" si="5"/>
        <v>8.3830987058760131E-2</v>
      </c>
      <c r="F123" s="653">
        <v>2015</v>
      </c>
      <c r="G123" s="654" t="s">
        <v>55</v>
      </c>
    </row>
    <row r="124" spans="2:7" hidden="1" x14ac:dyDescent="0.2">
      <c r="B124" s="658">
        <v>100129.59000000001</v>
      </c>
      <c r="C124" s="655">
        <v>19109344.539999992</v>
      </c>
      <c r="D124" s="651">
        <f>+B124/C124</f>
        <v>5.2398233644491109E-3</v>
      </c>
      <c r="E124" s="652">
        <f>(((B124/C124) +1)^12)-1</f>
        <v>6.4721986008058341E-2</v>
      </c>
      <c r="F124" s="653">
        <v>2015</v>
      </c>
      <c r="G124" s="654" t="s">
        <v>44</v>
      </c>
    </row>
    <row r="125" spans="2:7" hidden="1" x14ac:dyDescent="0.2">
      <c r="B125" s="658">
        <v>262386.58999999997</v>
      </c>
      <c r="C125" s="655">
        <v>18969859.299999997</v>
      </c>
      <c r="D125" s="651">
        <f>+B125/C125</f>
        <v>1.383176257928281E-2</v>
      </c>
      <c r="E125" s="652">
        <f>(((B125/C125) +1)^12)-1</f>
        <v>0.17920881926698318</v>
      </c>
      <c r="F125" s="653">
        <v>2015</v>
      </c>
      <c r="G125" s="654" t="s">
        <v>45</v>
      </c>
    </row>
    <row r="126" spans="2:7" hidden="1" x14ac:dyDescent="0.2">
      <c r="B126" s="658">
        <v>229145.46</v>
      </c>
      <c r="C126" s="655">
        <v>18600139.98</v>
      </c>
      <c r="D126" s="651">
        <f>+B126/C126</f>
        <v>1.2319555672505212E-2</v>
      </c>
      <c r="E126" s="652">
        <f>(((B126/C126) +1)^12)-1</f>
        <v>0.15827456053637445</v>
      </c>
      <c r="F126" s="653">
        <v>2015</v>
      </c>
      <c r="G126" s="654" t="s">
        <v>46</v>
      </c>
    </row>
    <row r="127" spans="2:7" hidden="1" x14ac:dyDescent="0.2">
      <c r="B127" s="658">
        <v>291545.81000000006</v>
      </c>
      <c r="C127" s="655">
        <v>17997883.02</v>
      </c>
      <c r="D127" s="651">
        <f>+B127/C127</f>
        <v>1.6198894596437936E-2</v>
      </c>
      <c r="E127" s="652">
        <f>(((B127/C127) +1)^12)-1</f>
        <v>0.21267554016553847</v>
      </c>
      <c r="F127" s="653">
        <v>2015</v>
      </c>
      <c r="G127" s="654" t="s">
        <v>47</v>
      </c>
    </row>
    <row r="128" spans="2:7" hidden="1" x14ac:dyDescent="0.2">
      <c r="B128" s="658">
        <v>268318.01</v>
      </c>
      <c r="C128" s="655">
        <v>17823786.129999999</v>
      </c>
      <c r="D128" s="651">
        <v>1.5053928948820933E-2</v>
      </c>
      <c r="E128" s="652">
        <v>0.1963807008421723</v>
      </c>
      <c r="F128" s="653">
        <v>2015</v>
      </c>
      <c r="G128" s="654" t="s">
        <v>48</v>
      </c>
    </row>
    <row r="129" spans="2:7" x14ac:dyDescent="0.2">
      <c r="B129" s="658">
        <v>131073.95000000001</v>
      </c>
      <c r="C129" s="655">
        <v>17641552.810000002</v>
      </c>
      <c r="D129" s="651">
        <f>+B129/C129</f>
        <v>7.429841999265596E-3</v>
      </c>
      <c r="E129" s="652">
        <f>(((B129/C129) +1)^12)-1</f>
        <v>9.2893231117371577E-2</v>
      </c>
      <c r="F129" s="653">
        <v>2015</v>
      </c>
      <c r="G129" s="654" t="s">
        <v>49</v>
      </c>
    </row>
    <row r="130" spans="2:7" x14ac:dyDescent="0.2">
      <c r="B130" s="658">
        <v>216855.19000000003</v>
      </c>
      <c r="C130" s="655">
        <v>17352572.479999997</v>
      </c>
      <c r="D130" s="651">
        <f>+B130/C130</f>
        <v>1.2497005285524101E-2</v>
      </c>
      <c r="E130" s="652">
        <f>(((B130/C130) +1)^12)-1</f>
        <v>0.16071331983488357</v>
      </c>
      <c r="F130" s="653">
        <v>2016</v>
      </c>
      <c r="G130" s="654" t="s">
        <v>50</v>
      </c>
    </row>
    <row r="131" spans="2:7" hidden="1" x14ac:dyDescent="0.2">
      <c r="B131" s="658">
        <v>177227.40999999997</v>
      </c>
      <c r="C131" s="655">
        <v>16870744.139999997</v>
      </c>
      <c r="D131" s="651">
        <f>+B131/C131</f>
        <v>1.0505014392328992E-2</v>
      </c>
      <c r="E131" s="652">
        <f>(((B131/C131) +1)^12)-1</f>
        <v>0.13360479769556388</v>
      </c>
      <c r="F131" s="653">
        <v>2016</v>
      </c>
      <c r="G131" s="654" t="s">
        <v>56</v>
      </c>
    </row>
    <row r="132" spans="2:7" hidden="1" x14ac:dyDescent="0.2">
      <c r="B132" s="658">
        <v>173123.74</v>
      </c>
      <c r="C132" s="655">
        <v>16573993.669999996</v>
      </c>
      <c r="D132" s="651">
        <f>+B132/C132</f>
        <v>1.0445505377099618E-2</v>
      </c>
      <c r="E132" s="652">
        <f>(((B132/C132) +1)^12)-1</f>
        <v>0.1328039562331309</v>
      </c>
      <c r="F132" s="653">
        <v>2016</v>
      </c>
      <c r="G132" s="654" t="s">
        <v>52</v>
      </c>
    </row>
    <row r="133" spans="2:7" hidden="1" x14ac:dyDescent="0.2">
      <c r="B133" s="658">
        <v>126572.23</v>
      </c>
      <c r="C133" s="655">
        <v>16205027.780000001</v>
      </c>
      <c r="D133" s="651">
        <v>7.810676520790265E-3</v>
      </c>
      <c r="E133" s="652">
        <v>9.786125458711159E-2</v>
      </c>
      <c r="F133" s="653">
        <v>2016</v>
      </c>
      <c r="G133" s="654" t="s">
        <v>53</v>
      </c>
    </row>
    <row r="134" spans="2:7" hidden="1" x14ac:dyDescent="0.2">
      <c r="B134" s="658">
        <v>168550.76</v>
      </c>
      <c r="C134" s="655">
        <v>16067021.770000001</v>
      </c>
      <c r="D134" s="651">
        <v>1.0490479344137965E-2</v>
      </c>
      <c r="E134" s="652">
        <v>0.13340914467056897</v>
      </c>
      <c r="F134" s="653">
        <v>2016</v>
      </c>
      <c r="G134" s="654" t="s">
        <v>54</v>
      </c>
    </row>
    <row r="135" spans="2:7" hidden="1" x14ac:dyDescent="0.2">
      <c r="B135" s="658">
        <v>194817.42</v>
      </c>
      <c r="C135" s="655">
        <v>16115243.619999999</v>
      </c>
      <c r="D135" s="651">
        <v>1.2089014885150091E-2</v>
      </c>
      <c r="E135" s="652">
        <v>0.15511316373846062</v>
      </c>
      <c r="F135" s="653">
        <v>2016</v>
      </c>
      <c r="G135" s="654" t="s">
        <v>55</v>
      </c>
    </row>
    <row r="136" spans="2:7" hidden="1" x14ac:dyDescent="0.2">
      <c r="B136" s="658">
        <v>78010.09</v>
      </c>
      <c r="C136" s="655">
        <v>15834971.350000001</v>
      </c>
      <c r="D136" s="651">
        <v>4.9264433939124235E-3</v>
      </c>
      <c r="E136" s="652">
        <v>6.0745728427214152E-2</v>
      </c>
      <c r="F136" s="653">
        <v>2016</v>
      </c>
      <c r="G136" s="654" t="s">
        <v>44</v>
      </c>
    </row>
    <row r="137" spans="2:7" hidden="1" x14ac:dyDescent="0.2">
      <c r="B137" s="658">
        <v>281054.2</v>
      </c>
      <c r="C137" s="655">
        <v>15498628.439999998</v>
      </c>
      <c r="D137" s="651">
        <v>1.8134133680799438E-2</v>
      </c>
      <c r="E137" s="652">
        <v>0.24068054659711047</v>
      </c>
      <c r="F137" s="653">
        <v>2016</v>
      </c>
      <c r="G137" s="654" t="s">
        <v>45</v>
      </c>
    </row>
    <row r="138" spans="2:7" hidden="1" x14ac:dyDescent="0.2">
      <c r="B138" s="658">
        <v>44314.21</v>
      </c>
      <c r="C138" s="655">
        <v>15502746.969999999</v>
      </c>
      <c r="D138" s="651">
        <f t="shared" ref="D138:D143" si="6">+B138/C138</f>
        <v>2.8584747003711176E-3</v>
      </c>
      <c r="E138" s="652">
        <f t="shared" ref="E138:E143" si="7">(((B138/C138) +1)^12)-1</f>
        <v>3.4846145900670367E-2</v>
      </c>
      <c r="F138" s="653">
        <v>2016</v>
      </c>
      <c r="G138" s="654" t="s">
        <v>46</v>
      </c>
    </row>
    <row r="139" spans="2:7" hidden="1" x14ac:dyDescent="0.2">
      <c r="B139" s="658">
        <v>142344.93</v>
      </c>
      <c r="C139" s="655">
        <v>15394006.77</v>
      </c>
      <c r="D139" s="651">
        <f t="shared" si="6"/>
        <v>9.2467758476891971E-3</v>
      </c>
      <c r="E139" s="652">
        <f t="shared" si="7"/>
        <v>0.11678210978556303</v>
      </c>
      <c r="F139" s="653">
        <v>2016</v>
      </c>
      <c r="G139" s="654" t="s">
        <v>47</v>
      </c>
    </row>
    <row r="140" spans="2:7" hidden="1" x14ac:dyDescent="0.2">
      <c r="B140" s="658">
        <v>235293.71</v>
      </c>
      <c r="C140" s="655">
        <v>14995746.32</v>
      </c>
      <c r="D140" s="651">
        <f t="shared" si="6"/>
        <v>1.5690696880233699E-2</v>
      </c>
      <c r="E140" s="652">
        <f t="shared" si="7"/>
        <v>0.20541806325691447</v>
      </c>
      <c r="F140" s="653">
        <v>2016</v>
      </c>
      <c r="G140" s="654" t="s">
        <v>48</v>
      </c>
    </row>
    <row r="141" spans="2:7" x14ac:dyDescent="0.2">
      <c r="B141" s="658">
        <v>148291.54</v>
      </c>
      <c r="C141" s="655">
        <v>14804226.210000001</v>
      </c>
      <c r="D141" s="651">
        <f t="shared" si="6"/>
        <v>1.0016838293097116E-2</v>
      </c>
      <c r="E141" s="652">
        <f t="shared" si="7"/>
        <v>0.12705048221119841</v>
      </c>
      <c r="F141" s="653">
        <v>2016</v>
      </c>
      <c r="G141" s="654" t="s">
        <v>49</v>
      </c>
    </row>
    <row r="142" spans="2:7" x14ac:dyDescent="0.2">
      <c r="B142" s="658">
        <v>434437.94</v>
      </c>
      <c r="C142" s="655">
        <v>14548399.369999999</v>
      </c>
      <c r="D142" s="651">
        <f t="shared" si="6"/>
        <v>2.9861562701931795E-2</v>
      </c>
      <c r="E142" s="652">
        <f t="shared" si="7"/>
        <v>0.42346303081756909</v>
      </c>
      <c r="F142" s="653">
        <v>2017</v>
      </c>
      <c r="G142" s="654" t="s">
        <v>50</v>
      </c>
    </row>
    <row r="143" spans="2:7" hidden="1" x14ac:dyDescent="0.2">
      <c r="B143" s="658">
        <v>78775.929999999993</v>
      </c>
      <c r="C143" s="655">
        <v>14131765.1</v>
      </c>
      <c r="D143" s="651">
        <f t="shared" si="6"/>
        <v>5.5743871655494753E-3</v>
      </c>
      <c r="E143" s="652">
        <f t="shared" si="7"/>
        <v>6.898210634644153E-2</v>
      </c>
      <c r="F143" s="653">
        <v>2017</v>
      </c>
      <c r="G143" s="654" t="s">
        <v>51</v>
      </c>
    </row>
    <row r="144" spans="2:7" hidden="1" x14ac:dyDescent="0.2">
      <c r="B144" s="658">
        <v>28702.54</v>
      </c>
      <c r="C144" s="655">
        <v>14308830.619999999</v>
      </c>
      <c r="D144" s="651">
        <f t="shared" ref="D144:D149" si="8">+B144/C144</f>
        <v>2.0059319145116837E-3</v>
      </c>
      <c r="E144" s="652">
        <f t="shared" ref="E144:E149" si="9">(((B144/C144) +1)^12)-1</f>
        <v>2.4338535068862521E-2</v>
      </c>
      <c r="F144" s="653">
        <v>2017</v>
      </c>
      <c r="G144" s="654" t="s">
        <v>52</v>
      </c>
    </row>
    <row r="145" spans="2:7" hidden="1" x14ac:dyDescent="0.2">
      <c r="B145" s="658">
        <v>47410.45</v>
      </c>
      <c r="C145" s="655">
        <v>13932436.08</v>
      </c>
      <c r="D145" s="651">
        <f t="shared" si="8"/>
        <v>3.4028830082384271E-3</v>
      </c>
      <c r="E145" s="652">
        <f t="shared" si="9"/>
        <v>4.1607586172484057E-2</v>
      </c>
      <c r="F145" s="653">
        <v>2017</v>
      </c>
      <c r="G145" s="654" t="s">
        <v>53</v>
      </c>
    </row>
    <row r="146" spans="2:7" hidden="1" x14ac:dyDescent="0.2">
      <c r="B146" s="658">
        <v>128114.6</v>
      </c>
      <c r="C146" s="655">
        <v>13599120.890000001</v>
      </c>
      <c r="D146" s="651">
        <f t="shared" si="8"/>
        <v>9.4208001411479475E-3</v>
      </c>
      <c r="E146" s="652">
        <f t="shared" si="9"/>
        <v>0.11909510169436688</v>
      </c>
      <c r="F146" s="653">
        <v>2017</v>
      </c>
      <c r="G146" s="654" t="s">
        <v>54</v>
      </c>
    </row>
    <row r="147" spans="2:7" hidden="1" x14ac:dyDescent="0.2">
      <c r="B147" s="658">
        <v>177431.93</v>
      </c>
      <c r="C147" s="655">
        <v>13307544.239999998</v>
      </c>
      <c r="D147" s="651">
        <f t="shared" si="8"/>
        <v>1.3333183553632132E-2</v>
      </c>
      <c r="E147" s="652">
        <f t="shared" si="9"/>
        <v>0.17226871899565843</v>
      </c>
      <c r="F147" s="653">
        <v>2017</v>
      </c>
      <c r="G147" s="654" t="s">
        <v>55</v>
      </c>
    </row>
    <row r="148" spans="2:7" hidden="1" x14ac:dyDescent="0.2">
      <c r="B148" s="658">
        <v>217229.77</v>
      </c>
      <c r="C148" s="655">
        <v>12820187.700000003</v>
      </c>
      <c r="D148" s="651">
        <f t="shared" si="8"/>
        <v>1.6944351758593983E-2</v>
      </c>
      <c r="E148" s="652">
        <f t="shared" si="9"/>
        <v>0.22339376384198117</v>
      </c>
      <c r="F148" s="653">
        <v>2017</v>
      </c>
      <c r="G148" s="654" t="s">
        <v>44</v>
      </c>
    </row>
    <row r="149" spans="2:7" hidden="1" x14ac:dyDescent="0.2">
      <c r="B149" s="658">
        <v>239697.94</v>
      </c>
      <c r="C149" s="655">
        <v>12613499.27</v>
      </c>
      <c r="D149" s="651">
        <f t="shared" si="8"/>
        <v>1.9003286468656528E-2</v>
      </c>
      <c r="E149" s="652">
        <f t="shared" si="9"/>
        <v>0.25345000450898802</v>
      </c>
      <c r="F149" s="653">
        <v>2017</v>
      </c>
      <c r="G149" s="654" t="s">
        <v>45</v>
      </c>
    </row>
    <row r="150" spans="2:7" hidden="1" x14ac:dyDescent="0.2">
      <c r="B150" s="658">
        <v>503.77</v>
      </c>
      <c r="C150" s="655">
        <v>12376806.41</v>
      </c>
      <c r="D150" s="651">
        <f t="shared" ref="D150" si="10">+B150/C150</f>
        <v>4.0702745386158142E-5</v>
      </c>
      <c r="E150" s="652">
        <f t="shared" ref="E150" si="11">(((B150/C150) +1)^12)-1</f>
        <v>4.885423025600133E-4</v>
      </c>
      <c r="F150" s="653">
        <v>2017</v>
      </c>
      <c r="G150" s="654" t="s">
        <v>46</v>
      </c>
    </row>
    <row r="151" spans="2:7" hidden="1" x14ac:dyDescent="0.2">
      <c r="B151" s="658">
        <v>189298.55</v>
      </c>
      <c r="C151" s="655">
        <v>12169995.82</v>
      </c>
      <c r="D151" s="651">
        <f t="shared" ref="D151" si="12">+B151/C151</f>
        <v>1.5554528760717355E-2</v>
      </c>
      <c r="E151" s="652">
        <f t="shared" ref="E151" si="13">(((B151/C151) +1)^12)-1</f>
        <v>0.20348024652138452</v>
      </c>
      <c r="F151" s="653">
        <v>2017</v>
      </c>
      <c r="G151" s="654" t="s">
        <v>47</v>
      </c>
    </row>
    <row r="152" spans="2:7" hidden="1" x14ac:dyDescent="0.2">
      <c r="B152" s="658">
        <v>36782.25</v>
      </c>
      <c r="C152" s="655">
        <v>11852446.939999999</v>
      </c>
      <c r="D152" s="651">
        <f t="shared" ref="D152" si="14">+B152/C152</f>
        <v>3.1033465229754493E-3</v>
      </c>
      <c r="E152" s="652">
        <f t="shared" ref="E152" si="15">(((B152/C152) +1)^12)-1</f>
        <v>3.7882409821438312E-2</v>
      </c>
      <c r="F152" s="653">
        <v>2017</v>
      </c>
      <c r="G152" s="654" t="s">
        <v>48</v>
      </c>
    </row>
    <row r="153" spans="2:7" x14ac:dyDescent="0.2">
      <c r="B153" s="658">
        <v>24124.32</v>
      </c>
      <c r="C153" s="655">
        <v>11573578.41</v>
      </c>
      <c r="D153" s="651">
        <f t="shared" ref="D153" si="16">+B153/C153</f>
        <v>2.0844305145205303E-3</v>
      </c>
      <c r="E153" s="652">
        <f t="shared" ref="E153" si="17">(((B153/C153) +1)^12)-1</f>
        <v>2.5301928126175044E-2</v>
      </c>
      <c r="F153" s="653">
        <v>2017</v>
      </c>
      <c r="G153" s="654" t="s">
        <v>49</v>
      </c>
    </row>
    <row r="154" spans="2:7" x14ac:dyDescent="0.2">
      <c r="B154" s="658">
        <v>203558.38</v>
      </c>
      <c r="C154" s="655">
        <v>11755047.859999999</v>
      </c>
      <c r="D154" s="651">
        <v>1.7316678113465378E-2</v>
      </c>
      <c r="E154" s="652">
        <v>0.22877954636730391</v>
      </c>
      <c r="F154" s="653">
        <v>2018</v>
      </c>
      <c r="G154" s="654" t="s">
        <v>50</v>
      </c>
    </row>
    <row r="155" spans="2:7" hidden="1" x14ac:dyDescent="0.2">
      <c r="B155" s="658">
        <v>86315.67</v>
      </c>
      <c r="C155" s="655">
        <v>11567740.65</v>
      </c>
      <c r="D155" s="651">
        <v>7.4617570199414862E-3</v>
      </c>
      <c r="E155" s="652">
        <v>9.3308773162618985E-2</v>
      </c>
      <c r="F155" s="653">
        <v>2018</v>
      </c>
      <c r="G155" s="654" t="s">
        <v>51</v>
      </c>
    </row>
    <row r="156" spans="2:7" hidden="1" x14ac:dyDescent="0.2">
      <c r="B156" s="658">
        <v>76584.13</v>
      </c>
      <c r="C156" s="655">
        <v>11502561.6</v>
      </c>
      <c r="D156" s="651">
        <f t="shared" ref="D156" si="18">+B156/C156</f>
        <v>6.658006508741497E-3</v>
      </c>
      <c r="E156" s="652">
        <f t="shared" ref="E156" si="19">(((B156/C156) +1)^12)-1</f>
        <v>8.288771008294149E-2</v>
      </c>
      <c r="F156" s="653">
        <v>2018</v>
      </c>
      <c r="G156" s="654" t="s">
        <v>52</v>
      </c>
    </row>
    <row r="157" spans="2:7" hidden="1" x14ac:dyDescent="0.2">
      <c r="B157" s="658">
        <v>81284.69</v>
      </c>
      <c r="C157" s="655">
        <v>11183692.43</v>
      </c>
      <c r="D157" s="651">
        <f t="shared" ref="D157:D166" si="20">+B157/C157</f>
        <v>7.2681442653014742E-3</v>
      </c>
      <c r="E157" s="652">
        <f t="shared" ref="E157:E166" si="21">(((B157/C157) +1)^12)-1</f>
        <v>9.0790107721750335E-2</v>
      </c>
      <c r="F157" s="653">
        <v>2018</v>
      </c>
      <c r="G157" s="654" t="s">
        <v>53</v>
      </c>
    </row>
    <row r="158" spans="2:7" hidden="1" x14ac:dyDescent="0.2">
      <c r="B158" s="658">
        <v>60573.47</v>
      </c>
      <c r="C158" s="655">
        <v>10738644.18</v>
      </c>
      <c r="D158" s="651">
        <f t="shared" si="20"/>
        <v>5.64069997894278E-3</v>
      </c>
      <c r="E158" s="652">
        <f t="shared" si="21"/>
        <v>6.9828344216366078E-2</v>
      </c>
      <c r="F158" s="653">
        <v>2018</v>
      </c>
      <c r="G158" s="654">
        <v>43251</v>
      </c>
    </row>
    <row r="159" spans="2:7" hidden="1" x14ac:dyDescent="0.2">
      <c r="B159" s="658">
        <v>97543.61</v>
      </c>
      <c r="C159" s="655">
        <v>10499283.27</v>
      </c>
      <c r="D159" s="651">
        <f t="shared" si="20"/>
        <v>9.2905017886997163E-3</v>
      </c>
      <c r="E159" s="652">
        <f t="shared" si="21"/>
        <v>0.11736286748797897</v>
      </c>
      <c r="F159" s="653">
        <v>2018</v>
      </c>
      <c r="G159" s="654">
        <v>43281</v>
      </c>
    </row>
    <row r="160" spans="2:7" hidden="1" x14ac:dyDescent="0.2">
      <c r="B160" s="658">
        <v>76454.19</v>
      </c>
      <c r="C160" s="655">
        <v>10175484.17</v>
      </c>
      <c r="D160" s="651">
        <f t="shared" si="20"/>
        <v>7.5135677794484742E-3</v>
      </c>
      <c r="E160" s="652">
        <f t="shared" si="21"/>
        <v>9.3983671427734672E-2</v>
      </c>
      <c r="F160" s="653">
        <v>2018</v>
      </c>
      <c r="G160" s="654">
        <v>43282</v>
      </c>
    </row>
    <row r="161" spans="2:7" hidden="1" x14ac:dyDescent="0.2">
      <c r="B161" s="658">
        <v>104518.3</v>
      </c>
      <c r="C161" s="655">
        <v>9833288.3000000007</v>
      </c>
      <c r="D161" s="651">
        <f t="shared" si="20"/>
        <v>1.0629028338363678E-2</v>
      </c>
      <c r="E161" s="652">
        <f t="shared" si="21"/>
        <v>0.13527538100728953</v>
      </c>
      <c r="F161" s="653">
        <v>2018</v>
      </c>
      <c r="G161" s="654">
        <v>43313</v>
      </c>
    </row>
    <row r="162" spans="2:7" hidden="1" x14ac:dyDescent="0.2">
      <c r="B162" s="658">
        <v>57082.26</v>
      </c>
      <c r="C162" s="655">
        <v>8996087.9900000002</v>
      </c>
      <c r="D162" s="651">
        <f t="shared" si="20"/>
        <v>6.3452314009658766E-3</v>
      </c>
      <c r="E162" s="652">
        <f t="shared" si="21"/>
        <v>7.8857080609074925E-2</v>
      </c>
      <c r="F162" s="653">
        <v>2018</v>
      </c>
      <c r="G162" s="654">
        <v>43345</v>
      </c>
    </row>
    <row r="163" spans="2:7" hidden="1" x14ac:dyDescent="0.2">
      <c r="B163" s="658">
        <v>9447.51</v>
      </c>
      <c r="C163" s="655">
        <v>8347298.21</v>
      </c>
      <c r="D163" s="651">
        <f t="shared" si="20"/>
        <v>1.1318045387047459E-3</v>
      </c>
      <c r="E163" s="652">
        <f t="shared" si="21"/>
        <v>1.3666519018646683E-2</v>
      </c>
      <c r="F163" s="653">
        <v>2018</v>
      </c>
      <c r="G163" s="654">
        <v>43376</v>
      </c>
    </row>
    <row r="164" spans="2:7" hidden="1" x14ac:dyDescent="0.2">
      <c r="B164" s="658">
        <v>181906.93</v>
      </c>
      <c r="C164" s="655">
        <v>9369493.9100000001</v>
      </c>
      <c r="D164" s="651">
        <f t="shared" si="20"/>
        <v>1.9414808499512649E-2</v>
      </c>
      <c r="E164" s="652">
        <f t="shared" si="21"/>
        <v>0.25953794828849142</v>
      </c>
      <c r="F164" s="653">
        <v>2018</v>
      </c>
      <c r="G164" s="654">
        <v>43407</v>
      </c>
    </row>
    <row r="165" spans="2:7" x14ac:dyDescent="0.2">
      <c r="B165" s="658">
        <v>14506.28</v>
      </c>
      <c r="C165" s="655">
        <v>8982355.1600000001</v>
      </c>
      <c r="D165" s="651">
        <f t="shared" si="20"/>
        <v>1.6149751085994689E-3</v>
      </c>
      <c r="E165" s="652">
        <f t="shared" si="21"/>
        <v>1.9552768882293847E-2</v>
      </c>
      <c r="F165" s="653">
        <v>2018</v>
      </c>
      <c r="G165" s="654">
        <v>43435</v>
      </c>
    </row>
    <row r="166" spans="2:7" x14ac:dyDescent="0.2">
      <c r="B166" s="658">
        <v>0</v>
      </c>
      <c r="C166" s="655">
        <v>8992035.6199999992</v>
      </c>
      <c r="D166" s="651">
        <f t="shared" si="20"/>
        <v>0</v>
      </c>
      <c r="E166" s="652">
        <f t="shared" si="21"/>
        <v>0</v>
      </c>
      <c r="F166" s="653">
        <v>2019</v>
      </c>
      <c r="G166" s="654">
        <v>43466</v>
      </c>
    </row>
    <row r="167" spans="2:7" hidden="1" x14ac:dyDescent="0.2">
      <c r="B167" s="658">
        <v>70197.11</v>
      </c>
      <c r="C167" s="655">
        <v>8954115.8600000013</v>
      </c>
      <c r="D167" s="651">
        <v>7.8396472747896736E-3</v>
      </c>
      <c r="E167" s="652">
        <v>9.824002688866984E-2</v>
      </c>
      <c r="F167" s="653">
        <v>2019</v>
      </c>
      <c r="G167" s="654">
        <v>43497</v>
      </c>
    </row>
    <row r="168" spans="2:7" hidden="1" x14ac:dyDescent="0.2">
      <c r="B168" s="658">
        <v>58910.77</v>
      </c>
      <c r="C168" s="655">
        <v>8724120.6899999995</v>
      </c>
      <c r="D168" s="651">
        <v>6.7526312499924853E-3</v>
      </c>
      <c r="E168" s="652">
        <v>8.4109824770883135E-2</v>
      </c>
      <c r="F168" s="653">
        <v>2019</v>
      </c>
      <c r="G168" s="654">
        <v>43526</v>
      </c>
    </row>
    <row r="169" spans="2:7" hidden="1" x14ac:dyDescent="0.2">
      <c r="B169" s="658">
        <v>43182.41</v>
      </c>
      <c r="C169" s="655">
        <v>8515237.4100000001</v>
      </c>
      <c r="D169" s="651">
        <v>5.0711927243846516E-3</v>
      </c>
      <c r="E169" s="652">
        <v>6.25806559376334E-2</v>
      </c>
      <c r="F169" s="653">
        <v>2019</v>
      </c>
      <c r="G169" s="654">
        <v>43556</v>
      </c>
    </row>
    <row r="170" spans="2:7" hidden="1" x14ac:dyDescent="0.2">
      <c r="B170" s="658">
        <v>75698.83</v>
      </c>
      <c r="C170" s="655">
        <v>7933382.4500000002</v>
      </c>
      <c r="D170" s="651">
        <v>9.5418102526999699E-3</v>
      </c>
      <c r="E170" s="652">
        <v>0.12070605896815856</v>
      </c>
      <c r="F170" s="653">
        <v>2019</v>
      </c>
      <c r="G170" s="654">
        <v>43587</v>
      </c>
    </row>
    <row r="171" spans="2:7" hidden="1" x14ac:dyDescent="0.2">
      <c r="B171" s="658">
        <v>0</v>
      </c>
      <c r="C171" s="655">
        <v>7680754.7500000009</v>
      </c>
      <c r="D171" s="651">
        <v>0</v>
      </c>
      <c r="E171" s="652">
        <v>0</v>
      </c>
      <c r="F171" s="653">
        <v>2019</v>
      </c>
      <c r="G171" s="654">
        <v>43617</v>
      </c>
    </row>
    <row r="172" spans="2:7" hidden="1" x14ac:dyDescent="0.2">
      <c r="B172" s="658">
        <v>125293.81</v>
      </c>
      <c r="C172" s="655">
        <v>7359096.8699999992</v>
      </c>
      <c r="D172" s="651">
        <v>1.7025704677264292E-2</v>
      </c>
      <c r="E172" s="652">
        <v>0.22456870076187374</v>
      </c>
      <c r="F172" s="653">
        <v>2019</v>
      </c>
      <c r="G172" s="654">
        <v>43648</v>
      </c>
    </row>
    <row r="173" spans="2:7" hidden="1" x14ac:dyDescent="0.2">
      <c r="B173" s="658">
        <v>0</v>
      </c>
      <c r="C173" s="655">
        <v>7233495.379999999</v>
      </c>
      <c r="D173" s="651">
        <v>0</v>
      </c>
      <c r="E173" s="652">
        <v>0</v>
      </c>
      <c r="F173" s="653">
        <v>2019</v>
      </c>
      <c r="G173" s="654">
        <v>43680</v>
      </c>
    </row>
    <row r="174" spans="2:7" hidden="1" x14ac:dyDescent="0.2">
      <c r="B174" s="658">
        <v>4249.46</v>
      </c>
      <c r="C174" s="655">
        <v>7150809.3299999991</v>
      </c>
      <c r="D174" s="651">
        <v>5.9426280353639359E-4</v>
      </c>
      <c r="E174" s="652">
        <v>7.1545076605230573E-3</v>
      </c>
      <c r="F174" s="653">
        <v>2019</v>
      </c>
      <c r="G174" s="654">
        <v>43712</v>
      </c>
    </row>
    <row r="175" spans="2:7" hidden="1" x14ac:dyDescent="0.2">
      <c r="B175" s="658">
        <v>11396.62</v>
      </c>
      <c r="C175" s="655">
        <v>7111777.2100000009</v>
      </c>
      <c r="D175" s="651">
        <f t="shared" ref="D175" si="22">+B175/C175</f>
        <v>1.6024995811138463E-3</v>
      </c>
      <c r="E175" s="652">
        <f t="shared" ref="E175" si="23">(((B175/C175) +1)^12)-1</f>
        <v>1.9400391919889515E-2</v>
      </c>
      <c r="F175" s="653">
        <v>2019</v>
      </c>
      <c r="G175" s="654">
        <v>43739</v>
      </c>
    </row>
    <row r="176" spans="2:7" hidden="1" x14ac:dyDescent="0.2">
      <c r="B176" s="658">
        <v>42541.52</v>
      </c>
      <c r="C176" s="655">
        <v>6800723.0699999984</v>
      </c>
      <c r="D176" s="651">
        <f t="shared" ref="D176" si="24">+B176/C176</f>
        <v>6.2554407174235972E-3</v>
      </c>
      <c r="E176" s="652">
        <f t="shared" ref="E176" si="25">(((B176/C176) +1)^12)-1</f>
        <v>7.7702521068010899E-2</v>
      </c>
      <c r="F176" s="653">
        <v>2019</v>
      </c>
      <c r="G176" s="654">
        <v>43770</v>
      </c>
    </row>
    <row r="177" spans="2:7" x14ac:dyDescent="0.2">
      <c r="B177" s="658">
        <v>143798.46000000002</v>
      </c>
      <c r="C177" s="655">
        <v>6497634.0599999987</v>
      </c>
      <c r="D177" s="651">
        <f t="shared" ref="D177" si="26">+B177/C177</f>
        <v>2.2130895441655581E-2</v>
      </c>
      <c r="E177" s="652">
        <f t="shared" ref="E177" si="27">(((B177/C177) +1)^12)-1</f>
        <v>0.30040367531822754</v>
      </c>
      <c r="F177" s="653">
        <v>2019</v>
      </c>
      <c r="G177" s="654">
        <v>43800</v>
      </c>
    </row>
    <row r="178" spans="2:7" x14ac:dyDescent="0.2">
      <c r="B178" s="658">
        <v>7766.18</v>
      </c>
      <c r="C178" s="655">
        <v>6418342.0300000003</v>
      </c>
      <c r="D178" s="651">
        <f t="shared" ref="D178" si="28">+B178/C178</f>
        <v>1.2099978411402922E-3</v>
      </c>
      <c r="E178" s="652">
        <f t="shared" ref="E178" si="29">(((B178/C178) +1)^12)-1</f>
        <v>1.4616995153332146E-2</v>
      </c>
      <c r="F178" s="653">
        <v>2020</v>
      </c>
      <c r="G178" s="654">
        <v>43831</v>
      </c>
    </row>
    <row r="179" spans="2:7" hidden="1" x14ac:dyDescent="0.2">
      <c r="B179" s="658">
        <v>96097.08</v>
      </c>
      <c r="C179" s="655">
        <v>6351491.0499999998</v>
      </c>
      <c r="D179" s="651">
        <f t="shared" ref="D179" si="30">+B179/C179</f>
        <v>1.5129845770624208E-2</v>
      </c>
      <c r="E179" s="652">
        <f t="shared" ref="E179" si="31">(((B179/C179) +1)^12)-1</f>
        <v>0.1974548836603649</v>
      </c>
      <c r="F179" s="653">
        <v>2020</v>
      </c>
      <c r="G179" s="654">
        <v>43862</v>
      </c>
    </row>
    <row r="180" spans="2:7" hidden="1" x14ac:dyDescent="0.2">
      <c r="B180" s="658">
        <v>0</v>
      </c>
      <c r="C180" s="655">
        <v>6125756.419999999</v>
      </c>
      <c r="D180" s="651">
        <f t="shared" ref="D180" si="32">+B180/C180</f>
        <v>0</v>
      </c>
      <c r="E180" s="652">
        <f t="shared" ref="E180" si="33">(((B180/C180) +1)^12)-1</f>
        <v>0</v>
      </c>
      <c r="F180" s="653">
        <v>2020</v>
      </c>
      <c r="G180" s="654">
        <v>43891</v>
      </c>
    </row>
    <row r="181" spans="2:7" hidden="1" x14ac:dyDescent="0.2">
      <c r="B181" s="658">
        <v>636345.63000000035</v>
      </c>
      <c r="C181" s="655">
        <v>6872363.9100000001</v>
      </c>
      <c r="D181" s="651">
        <f t="shared" ref="D181" si="34">+B181/C181</f>
        <v>9.2594868131772187E-2</v>
      </c>
      <c r="E181" s="652">
        <f t="shared" ref="E181" si="35">(((B181/C181) +1)^12)-1</f>
        <v>1.8940756276459632</v>
      </c>
      <c r="F181" s="653">
        <v>2020</v>
      </c>
      <c r="G181" s="654">
        <v>43923</v>
      </c>
    </row>
    <row r="182" spans="2:7" hidden="1" x14ac:dyDescent="0.2">
      <c r="B182" s="658">
        <v>1075.2599999999998</v>
      </c>
      <c r="C182" s="655">
        <v>6653161.3199999994</v>
      </c>
      <c r="D182" s="651">
        <f t="shared" ref="D182" si="36">+B182/C182</f>
        <v>1.6161640283209004E-4</v>
      </c>
      <c r="E182" s="652">
        <f t="shared" ref="E182" si="37">(((B182/C182) +1)^12)-1</f>
        <v>1.9411216739009252E-3</v>
      </c>
      <c r="F182" s="653">
        <v>2020</v>
      </c>
      <c r="G182" s="654">
        <v>43953</v>
      </c>
    </row>
    <row r="183" spans="2:7" hidden="1" x14ac:dyDescent="0.2">
      <c r="B183" s="658">
        <v>49213.279999999999</v>
      </c>
      <c r="C183" s="655">
        <v>6614919.4499999993</v>
      </c>
      <c r="D183" s="651">
        <f t="shared" ref="D183" si="38">+B183/C183</f>
        <v>7.4397398746858523E-3</v>
      </c>
      <c r="E183" s="652">
        <f t="shared" ref="E183" si="39">(((B183/C183) +1)^12)-1</f>
        <v>9.3022088593906371E-2</v>
      </c>
      <c r="F183" s="653">
        <v>2020</v>
      </c>
      <c r="G183" s="654">
        <v>43983</v>
      </c>
    </row>
    <row r="184" spans="2:7" hidden="1" x14ac:dyDescent="0.2">
      <c r="B184" s="658">
        <v>54453.83</v>
      </c>
      <c r="C184" s="655">
        <v>6390480.5399999972</v>
      </c>
      <c r="D184" s="651">
        <f t="shared" ref="D184" si="40">+B184/C184</f>
        <v>8.5210853329662165E-3</v>
      </c>
      <c r="E184" s="652">
        <f t="shared" ref="E184" si="41">(((B184/C184) +1)^12)-1</f>
        <v>0.1071839721339003</v>
      </c>
      <c r="F184" s="653">
        <v>2020</v>
      </c>
      <c r="G184" s="654">
        <v>44014</v>
      </c>
    </row>
    <row r="185" spans="2:7" hidden="1" x14ac:dyDescent="0.2">
      <c r="B185" s="658">
        <v>52222.600000000006</v>
      </c>
      <c r="C185" s="655">
        <v>6455172.7400000012</v>
      </c>
      <c r="D185" s="651">
        <f t="shared" ref="D185" si="42">+B185/C185</f>
        <v>8.0900391210909708E-3</v>
      </c>
      <c r="E185" s="652">
        <f t="shared" ref="E185" si="43">(((B185/C185) +1)^12)-1</f>
        <v>0.10151872010551899</v>
      </c>
      <c r="F185" s="653">
        <v>2020</v>
      </c>
      <c r="G185" s="654">
        <v>44046</v>
      </c>
    </row>
    <row r="186" spans="2:7" hidden="1" x14ac:dyDescent="0.2">
      <c r="B186" s="658">
        <v>1371.24</v>
      </c>
      <c r="C186" s="655">
        <v>6426698.0999999996</v>
      </c>
      <c r="D186" s="651">
        <f t="shared" ref="D186" si="44">+B186/C186</f>
        <v>2.1336617632622266E-4</v>
      </c>
      <c r="E186" s="652">
        <f t="shared" ref="E186" si="45">(((B186/C186) +1)^12)-1</f>
        <v>2.5634009121784374E-3</v>
      </c>
      <c r="F186" s="653">
        <v>2020</v>
      </c>
      <c r="G186" s="654">
        <v>44078</v>
      </c>
    </row>
    <row r="187" spans="2:7" hidden="1" x14ac:dyDescent="0.2">
      <c r="B187" s="658">
        <v>269036.28000000003</v>
      </c>
      <c r="C187" s="655">
        <v>6201441.2300000004</v>
      </c>
      <c r="D187" s="651">
        <f t="shared" ref="D187" si="46">+B187/C187</f>
        <v>4.3382863760526198E-2</v>
      </c>
      <c r="E187" s="652">
        <f t="shared" ref="E187" si="47">(((B187/C187) +1)^12)-1</f>
        <v>0.66465560154913073</v>
      </c>
      <c r="F187" s="653">
        <v>2020</v>
      </c>
      <c r="G187" s="654">
        <v>44105</v>
      </c>
    </row>
    <row r="188" spans="2:7" hidden="1" x14ac:dyDescent="0.2">
      <c r="B188" s="658">
        <v>50888.179999999993</v>
      </c>
      <c r="C188" s="655">
        <v>6174775.9199999999</v>
      </c>
      <c r="D188" s="651">
        <f t="shared" ref="D188" si="48">+B188/C188</f>
        <v>8.2412998721417552E-3</v>
      </c>
      <c r="E188" s="652">
        <f t="shared" ref="E188" si="49">(((B188/C188) +1)^12)-1</f>
        <v>0.10350371088401356</v>
      </c>
      <c r="F188" s="653">
        <v>2020</v>
      </c>
      <c r="G188" s="654">
        <v>44136</v>
      </c>
    </row>
    <row r="189" spans="2:7" x14ac:dyDescent="0.2">
      <c r="B189" s="658">
        <v>94348.72</v>
      </c>
      <c r="C189" s="655">
        <v>6008734.7600000007</v>
      </c>
      <c r="D189" s="651">
        <f t="shared" ref="D189" si="50">+B189/C189</f>
        <v>1.5701927904702519E-2</v>
      </c>
      <c r="E189" s="652">
        <f t="shared" ref="E189" si="51">(((B189/C189) +1)^12)-1</f>
        <v>0.20557802025767513</v>
      </c>
      <c r="F189" s="653">
        <v>2020</v>
      </c>
      <c r="G189" s="654">
        <v>44166</v>
      </c>
    </row>
    <row r="190" spans="2:7" x14ac:dyDescent="0.2">
      <c r="B190" s="658">
        <v>7256.3300000000008</v>
      </c>
      <c r="C190" s="655">
        <v>6003552.120000001</v>
      </c>
      <c r="D190" s="651">
        <f t="shared" ref="D190" si="52">+B190/C190</f>
        <v>1.2086727748771506E-3</v>
      </c>
      <c r="E190" s="652">
        <f t="shared" ref="E190" si="53">(((B190/C190) +1)^12)-1</f>
        <v>1.460088155118533E-2</v>
      </c>
      <c r="F190" s="653">
        <v>2021</v>
      </c>
      <c r="G190" s="654">
        <v>44197</v>
      </c>
    </row>
    <row r="191" spans="2:7" hidden="1" x14ac:dyDescent="0.2">
      <c r="B191" s="658">
        <v>68814.05</v>
      </c>
      <c r="C191" s="655">
        <v>5887143.0900000008</v>
      </c>
      <c r="D191" s="651">
        <f t="shared" ref="D191" si="54">+B191/C191</f>
        <v>1.1688869957465224E-2</v>
      </c>
      <c r="E191" s="652">
        <f t="shared" ref="E191" si="55">(((B191/C191) +1)^12)-1</f>
        <v>0.1496447643682477</v>
      </c>
      <c r="F191" s="653">
        <v>2021</v>
      </c>
      <c r="G191" s="654">
        <v>44228</v>
      </c>
    </row>
    <row r="192" spans="2:7" hidden="1" x14ac:dyDescent="0.2">
      <c r="B192" s="658">
        <v>69499.91</v>
      </c>
      <c r="C192" s="655">
        <v>5869206.5300000012</v>
      </c>
      <c r="D192" s="651">
        <f t="shared" ref="D192" si="56">+B192/C192</f>
        <v>1.1841449034849348E-2</v>
      </c>
      <c r="E192" s="652">
        <f t="shared" ref="E192" si="57">(((B192/C192) +1)^12)-1</f>
        <v>0.15172711183275434</v>
      </c>
      <c r="F192" s="653">
        <v>2021</v>
      </c>
      <c r="G192" s="654">
        <v>44256</v>
      </c>
    </row>
    <row r="193" spans="2:7" hidden="1" x14ac:dyDescent="0.2">
      <c r="B193" s="658">
        <v>1389.14</v>
      </c>
      <c r="C193" s="655">
        <v>5701668.1399999997</v>
      </c>
      <c r="D193" s="651">
        <f t="shared" ref="D193" si="58">+B193/C193</f>
        <v>2.4363746992823055E-4</v>
      </c>
      <c r="E193" s="652">
        <f t="shared" ref="E193" si="59">(((B193/C193) +1)^12)-1</f>
        <v>2.9275705308562383E-3</v>
      </c>
      <c r="F193" s="653">
        <v>2021</v>
      </c>
      <c r="G193" s="654">
        <v>44288</v>
      </c>
    </row>
    <row r="194" spans="2:7" hidden="1" x14ac:dyDescent="0.2">
      <c r="B194" s="658">
        <v>131645.26999999999</v>
      </c>
      <c r="C194" s="655">
        <v>5621966.0999999996</v>
      </c>
      <c r="D194" s="651">
        <f t="shared" ref="D194" si="60">+B194/C194</f>
        <v>2.3416233335167212E-2</v>
      </c>
      <c r="E194" s="652">
        <f t="shared" ref="E194" si="61">(((B194/C194) +1)^12)-1</f>
        <v>0.32016318384695475</v>
      </c>
      <c r="F194" s="653">
        <v>2021</v>
      </c>
      <c r="G194" s="654">
        <v>44318</v>
      </c>
    </row>
    <row r="195" spans="2:7" hidden="1" x14ac:dyDescent="0.2">
      <c r="B195" s="658">
        <v>28096.109999999997</v>
      </c>
      <c r="C195" s="655">
        <v>5572460.709999999</v>
      </c>
      <c r="D195" s="651">
        <f t="shared" ref="D195" si="62">+B195/C195</f>
        <v>5.0419574873951873E-3</v>
      </c>
      <c r="E195" s="652">
        <f t="shared" ref="E195" si="63">(((B195/C195) +1)^12)-1</f>
        <v>6.2209818589837873E-2</v>
      </c>
      <c r="F195" s="653">
        <v>2021</v>
      </c>
      <c r="G195" s="654">
        <v>44348</v>
      </c>
    </row>
    <row r="196" spans="2:7" hidden="1" x14ac:dyDescent="0.2">
      <c r="B196" s="658">
        <v>184608.71</v>
      </c>
      <c r="C196" s="655">
        <v>5433083.1599999983</v>
      </c>
      <c r="D196" s="651">
        <f t="shared" ref="D196" si="64">+B196/C196</f>
        <v>3.397862770795506E-2</v>
      </c>
      <c r="E196" s="652">
        <f t="shared" ref="E196" si="65">(((B196/C196) +1)^12)-1</f>
        <v>0.4932713887256468</v>
      </c>
      <c r="F196" s="653">
        <v>2021</v>
      </c>
      <c r="G196" s="654">
        <v>44378</v>
      </c>
    </row>
    <row r="197" spans="2:7" hidden="1" x14ac:dyDescent="0.2">
      <c r="B197" s="658">
        <v>92742.62000000001</v>
      </c>
      <c r="C197" s="655">
        <v>5372998.8699999992</v>
      </c>
      <c r="D197" s="651">
        <f t="shared" ref="D197" si="66">+B197/C197</f>
        <v>1.7260867207292009E-2</v>
      </c>
      <c r="E197" s="652">
        <f t="shared" ref="E197" si="67">(((B197/C197) +1)^12)-1</f>
        <v>0.22797084702176496</v>
      </c>
      <c r="F197" s="653">
        <v>2021</v>
      </c>
      <c r="G197" s="654">
        <v>44411</v>
      </c>
    </row>
    <row r="198" spans="2:7" hidden="1" x14ac:dyDescent="0.2">
      <c r="B198" s="658">
        <v>124885.91</v>
      </c>
      <c r="C198" s="655">
        <v>5142949.2299999986</v>
      </c>
      <c r="D198" s="651">
        <f t="shared" ref="D198" si="68">+B198/C198</f>
        <v>2.4282936582673602E-2</v>
      </c>
      <c r="E198" s="652">
        <f t="shared" ref="E198" si="69">(((B198/C198) +1)^12)-1</f>
        <v>0.33364197178413502</v>
      </c>
      <c r="F198" s="653">
        <v>2021</v>
      </c>
      <c r="G198" s="654">
        <v>44440</v>
      </c>
    </row>
    <row r="199" spans="2:7" hidden="1" x14ac:dyDescent="0.2">
      <c r="B199" s="658">
        <v>972.1</v>
      </c>
      <c r="C199" s="655">
        <v>5192602.5900000008</v>
      </c>
      <c r="D199" s="651">
        <f t="shared" ref="D199" si="70">+B199/C199</f>
        <v>1.8720862672450347E-4</v>
      </c>
      <c r="E199" s="652">
        <f t="shared" ref="E199" si="71">(((B199/C199) +1)^12)-1</f>
        <v>2.2488180713617911E-3</v>
      </c>
      <c r="F199" s="653">
        <v>2021</v>
      </c>
      <c r="G199" s="654">
        <v>44470</v>
      </c>
    </row>
    <row r="200" spans="2:7" hidden="1" x14ac:dyDescent="0.2">
      <c r="B200" s="658">
        <v>318687.67</v>
      </c>
      <c r="C200" s="655">
        <v>4930006.41</v>
      </c>
      <c r="D200" s="651">
        <f t="shared" ref="D200" si="72">+B200/C200</f>
        <v>6.4642445363473675E-2</v>
      </c>
      <c r="E200" s="652">
        <f t="shared" ref="E200" si="73">(((B200/C200) +1)^12)-1</f>
        <v>1.1205343924982567</v>
      </c>
      <c r="F200" s="653">
        <v>2021</v>
      </c>
      <c r="G200" s="654">
        <v>44501</v>
      </c>
    </row>
    <row r="201" spans="2:7" x14ac:dyDescent="0.2">
      <c r="B201" s="658">
        <v>219388.85</v>
      </c>
      <c r="C201" s="655">
        <v>4968051.3599999994</v>
      </c>
      <c r="D201" s="651">
        <f t="shared" ref="D201" si="74">+B201/C201</f>
        <v>4.41599400051291E-2</v>
      </c>
      <c r="E201" s="652">
        <f t="shared" ref="E201" si="75">(((B201/C201) +1)^12)-1</f>
        <v>0.67959404373805699</v>
      </c>
      <c r="F201" s="653">
        <v>2021</v>
      </c>
      <c r="G201" s="654">
        <v>44531</v>
      </c>
    </row>
    <row r="202" spans="2:7" x14ac:dyDescent="0.2">
      <c r="B202" s="658">
        <v>122955.41</v>
      </c>
      <c r="C202" s="655">
        <v>4776941.3599999994</v>
      </c>
      <c r="D202" s="651">
        <f t="shared" ref="D202" si="76">+B202/C202</f>
        <v>2.5739359295798434E-2</v>
      </c>
      <c r="E202" s="652">
        <f t="shared" ref="E202" si="77">(((B202/C202) +1)^12)-1</f>
        <v>0.35657636130654069</v>
      </c>
      <c r="F202" s="653">
        <v>2022</v>
      </c>
      <c r="G202" s="654">
        <v>44562</v>
      </c>
    </row>
    <row r="203" spans="2:7" hidden="1" x14ac:dyDescent="0.2">
      <c r="B203" s="658">
        <v>369667.74</v>
      </c>
      <c r="C203" s="655">
        <v>4718593.7499999991</v>
      </c>
      <c r="D203" s="651">
        <f t="shared" ref="D203" si="78">+B203/C203</f>
        <v>7.8342777442961697E-2</v>
      </c>
      <c r="E203" s="652">
        <f t="shared" ref="E203" si="79">(((B203/C203) +1)^12)-1</f>
        <v>1.4721909152329817</v>
      </c>
      <c r="F203" s="653">
        <v>2022</v>
      </c>
      <c r="G203" s="654">
        <v>44593</v>
      </c>
    </row>
    <row r="204" spans="2:7" hidden="1" x14ac:dyDescent="0.2">
      <c r="B204" s="658">
        <v>294937.77</v>
      </c>
      <c r="C204" s="655">
        <v>4609093.5200000014</v>
      </c>
      <c r="D204" s="651">
        <f t="shared" ref="D204" si="80">+B204/C204</f>
        <v>6.399040694665703E-2</v>
      </c>
      <c r="E204" s="652">
        <f t="shared" ref="E204" si="81">(((B204/C204) +1)^12)-1</f>
        <v>1.1050021704253945</v>
      </c>
      <c r="F204" s="653">
        <v>2022</v>
      </c>
      <c r="G204" s="654">
        <v>44621</v>
      </c>
    </row>
    <row r="205" spans="2:7" hidden="1" x14ac:dyDescent="0.2">
      <c r="B205" s="658">
        <v>131356.01</v>
      </c>
      <c r="C205" s="655">
        <v>4465970.2600000007</v>
      </c>
      <c r="D205" s="651">
        <f t="shared" ref="D205" si="82">+B205/C205</f>
        <v>2.9412647723274357E-2</v>
      </c>
      <c r="E205" s="652">
        <f t="shared" ref="E205" si="83">(((B205/C205) +1)^12)-1</f>
        <v>0.41603503321213409</v>
      </c>
      <c r="F205" s="653">
        <v>2022</v>
      </c>
      <c r="G205" s="654">
        <v>44653</v>
      </c>
    </row>
    <row r="206" spans="2:7" hidden="1" x14ac:dyDescent="0.2">
      <c r="B206" s="658">
        <v>27606.409999999996</v>
      </c>
      <c r="C206" s="655">
        <v>4402329.9100000011</v>
      </c>
      <c r="D206" s="651">
        <f t="shared" ref="D206" si="84">+B206/C206</f>
        <v>6.2708635119079455E-3</v>
      </c>
      <c r="E206" s="652">
        <f t="shared" ref="E206" si="85">(((B206/C206) +1)^12)-1</f>
        <v>7.7900752074136159E-2</v>
      </c>
      <c r="F206" s="653">
        <v>2022</v>
      </c>
      <c r="G206" s="654">
        <v>44683</v>
      </c>
    </row>
    <row r="207" spans="2:7" hidden="1" x14ac:dyDescent="0.2">
      <c r="B207" s="658">
        <v>118342.12</v>
      </c>
      <c r="C207" s="655">
        <v>4351210.8</v>
      </c>
      <c r="D207" s="651">
        <f t="shared" ref="D207" si="86">+B207/C207</f>
        <v>2.7197514769911859E-2</v>
      </c>
      <c r="E207" s="652">
        <f t="shared" ref="E207" si="87">(((B207/C207) +1)^12)-1</f>
        <v>0.37989969858909167</v>
      </c>
      <c r="F207" s="653">
        <v>2022</v>
      </c>
      <c r="G207" s="654">
        <v>44713</v>
      </c>
    </row>
    <row r="208" spans="2:7" hidden="1" x14ac:dyDescent="0.2">
      <c r="B208" s="658">
        <v>278399.18</v>
      </c>
      <c r="C208" s="655">
        <v>4190561.8499999987</v>
      </c>
      <c r="D208" s="651">
        <f t="shared" ref="D208" si="88">+B208/C208</f>
        <v>6.64348099288882E-2</v>
      </c>
      <c r="E208" s="652">
        <f t="shared" ref="E208" si="89">(((B208/C208) +1)^12)-1</f>
        <v>1.1637732697729399</v>
      </c>
      <c r="F208" s="653">
        <v>2022</v>
      </c>
      <c r="G208" s="654">
        <v>44743</v>
      </c>
    </row>
    <row r="209" spans="2:7" hidden="1" x14ac:dyDescent="0.2">
      <c r="B209" s="658">
        <v>136969.73000000001</v>
      </c>
      <c r="C209" s="655">
        <v>4218696.1499999994</v>
      </c>
      <c r="D209" s="651">
        <f t="shared" ref="D209" si="90">+B209/C209</f>
        <v>3.2467313390180996E-2</v>
      </c>
      <c r="E209" s="652">
        <f t="shared" ref="E209" si="91">(((B209/C209) +1)^12)-1</f>
        <v>0.4672892508785873</v>
      </c>
      <c r="F209" s="653">
        <v>2022</v>
      </c>
      <c r="G209" s="654">
        <v>44774</v>
      </c>
    </row>
    <row r="210" spans="2:7" hidden="1" x14ac:dyDescent="0.2">
      <c r="B210" s="658">
        <v>223862.39999999999</v>
      </c>
      <c r="C210" s="655">
        <v>4118334.7300000004</v>
      </c>
      <c r="D210" s="651">
        <f t="shared" ref="D210" si="92">+B210/C210</f>
        <v>5.4357504835455657E-2</v>
      </c>
      <c r="E210" s="652">
        <f t="shared" ref="E210" si="93">(((B210/C210) +1)^12)-1</f>
        <v>0.88735990161008416</v>
      </c>
      <c r="F210" s="653">
        <v>2022</v>
      </c>
      <c r="G210" s="654">
        <v>44805</v>
      </c>
    </row>
    <row r="211" spans="2:7" hidden="1" x14ac:dyDescent="0.2">
      <c r="B211" s="658">
        <v>51783.42</v>
      </c>
      <c r="C211" s="655">
        <v>4095751.6999999983</v>
      </c>
      <c r="D211" s="651">
        <f t="shared" ref="D211" si="94">+B211/C211</f>
        <v>1.2643202955882315E-2</v>
      </c>
      <c r="E211" s="652">
        <f t="shared" ref="E211" si="95">(((B211/C211) +1)^12)-1</f>
        <v>0.16272610697318979</v>
      </c>
      <c r="F211" s="653">
        <v>2022</v>
      </c>
      <c r="G211" s="654">
        <v>44835</v>
      </c>
    </row>
    <row r="212" spans="2:7" hidden="1" x14ac:dyDescent="0.2">
      <c r="B212" s="658">
        <v>124489.99</v>
      </c>
      <c r="C212" s="655">
        <v>4024543.3899999997</v>
      </c>
      <c r="D212" s="651">
        <f t="shared" ref="D212" si="96">+B212/C212</f>
        <v>3.0932699175098225E-2</v>
      </c>
      <c r="E212" s="652">
        <f t="shared" ref="E212" si="97">(((B212/C212) +1)^12)-1</f>
        <v>0.44133116697092922</v>
      </c>
      <c r="F212" s="653">
        <v>2022</v>
      </c>
      <c r="G212" s="654">
        <v>44866</v>
      </c>
    </row>
    <row r="213" spans="2:7" x14ac:dyDescent="0.2">
      <c r="B213" s="658">
        <v>172545.9</v>
      </c>
      <c r="C213" s="655">
        <v>3812993.6700000013</v>
      </c>
      <c r="D213" s="651">
        <f t="shared" ref="D213" si="98">+B213/C213</f>
        <v>4.525208141769612E-2</v>
      </c>
      <c r="E213" s="652">
        <f t="shared" ref="E213" si="99">(((B213/C213) +1)^12)-1</f>
        <v>0.70079704427690914</v>
      </c>
      <c r="F213" s="653">
        <v>2022</v>
      </c>
      <c r="G213" s="654">
        <v>44896</v>
      </c>
    </row>
    <row r="214" spans="2:7" x14ac:dyDescent="0.2">
      <c r="B214" s="658">
        <v>59584.31</v>
      </c>
      <c r="C214" s="655">
        <v>3818349.88</v>
      </c>
      <c r="D214" s="651">
        <f t="shared" ref="D214" si="100">+B214/C214</f>
        <v>1.5604727663144373E-2</v>
      </c>
      <c r="E214" s="652">
        <f t="shared" ref="E214" si="101">(((B214/C214) +1)^12)-1</f>
        <v>0.20419429756753726</v>
      </c>
      <c r="F214" s="653">
        <v>2023</v>
      </c>
      <c r="G214" s="654">
        <v>44927</v>
      </c>
    </row>
    <row r="215" spans="2:7" x14ac:dyDescent="0.2">
      <c r="B215" s="658">
        <v>844.08</v>
      </c>
      <c r="C215" s="655">
        <v>3768915.8299999996</v>
      </c>
      <c r="D215" s="651">
        <f t="shared" ref="D215" si="102">+B215/C215</f>
        <v>2.2395830474144607E-4</v>
      </c>
      <c r="E215" s="652">
        <f t="shared" ref="E215" si="103">(((B215/C215) +1)^12)-1</f>
        <v>2.6908125127049765E-3</v>
      </c>
      <c r="F215" s="653">
        <v>2023</v>
      </c>
      <c r="G215" s="654">
        <v>44958</v>
      </c>
    </row>
    <row r="216" spans="2:7" x14ac:dyDescent="0.2">
      <c r="B216" s="658">
        <v>142120.87</v>
      </c>
      <c r="C216" s="655">
        <v>3729585.4200000004</v>
      </c>
      <c r="D216" s="651">
        <f t="shared" ref="D216" si="104">+B216/C216</f>
        <v>3.8106345342802196E-2</v>
      </c>
      <c r="E216" s="652">
        <f t="shared" ref="E216" si="105">(((B216/C216) +1)^12)-1</f>
        <v>0.56639810008989366</v>
      </c>
      <c r="F216" s="653">
        <v>2023</v>
      </c>
      <c r="G216" s="654">
        <v>44986</v>
      </c>
    </row>
    <row r="217" spans="2:7" x14ac:dyDescent="0.2">
      <c r="B217" s="658">
        <v>109041.74</v>
      </c>
      <c r="C217" s="655">
        <v>3591601.2700000005</v>
      </c>
      <c r="D217" s="651">
        <f t="shared" ref="D217" si="106">+B217/C217</f>
        <v>3.0360201983111557E-2</v>
      </c>
      <c r="E217" s="652">
        <f t="shared" ref="E217" si="107">(((B217/C217) +1)^12)-1</f>
        <v>0.43175565392179616</v>
      </c>
      <c r="F217" s="653">
        <v>2023</v>
      </c>
      <c r="G217" s="654">
        <v>45017</v>
      </c>
    </row>
    <row r="218" spans="2:7" x14ac:dyDescent="0.2">
      <c r="B218" s="658">
        <v>40444.080000000002</v>
      </c>
      <c r="C218" s="655">
        <v>3607313.4499999997</v>
      </c>
      <c r="D218" s="651">
        <f t="shared" ref="D218" si="108">+B218/C218</f>
        <v>1.1211689962789345E-2</v>
      </c>
      <c r="E218" s="652">
        <f t="shared" ref="E218" si="109">(((B218/C218) +1)^12)-1</f>
        <v>0.14315462765175435</v>
      </c>
      <c r="F218" s="653">
        <v>2023</v>
      </c>
      <c r="G218" s="654">
        <v>45047</v>
      </c>
    </row>
    <row r="219" spans="2:7" x14ac:dyDescent="0.2">
      <c r="B219" s="658">
        <v>33276.769999999997</v>
      </c>
      <c r="C219" s="655">
        <v>3491336.7500000005</v>
      </c>
      <c r="D219" s="651">
        <f t="shared" ref="D219" si="110">+B219/C219</f>
        <v>9.5312404339111638E-3</v>
      </c>
      <c r="E219" s="652">
        <f t="shared" ref="E219" si="111">(((B219/C219) +1)^12)-1</f>
        <v>0.12056526268530465</v>
      </c>
      <c r="F219" s="653">
        <v>2023</v>
      </c>
      <c r="G219" s="654">
        <v>45078</v>
      </c>
    </row>
    <row r="220" spans="2:7" x14ac:dyDescent="0.2">
      <c r="B220" s="658">
        <v>182351.43</v>
      </c>
      <c r="C220" s="655">
        <v>3405559.66</v>
      </c>
      <c r="D220" s="651">
        <f t="shared" ref="D220" si="112">+B220/C220</f>
        <v>5.3545216706025932E-2</v>
      </c>
      <c r="E220" s="652">
        <f t="shared" ref="E220" si="113">(((B220/C220) +1)^12)-1</f>
        <v>0.86998514246440051</v>
      </c>
      <c r="F220" s="653">
        <v>2023</v>
      </c>
      <c r="G220" s="654">
        <v>45108</v>
      </c>
    </row>
    <row r="221" spans="2:7" x14ac:dyDescent="0.2">
      <c r="B221" s="658">
        <v>52790.71</v>
      </c>
      <c r="C221" s="655">
        <v>3319961.0199999996</v>
      </c>
      <c r="D221" s="651">
        <f t="shared" ref="D221" si="114">+B221/C221</f>
        <v>1.5901002958161239E-2</v>
      </c>
      <c r="E221" s="652">
        <f t="shared" ref="E221" si="115">(((B221/C221) +1)^12)-1</f>
        <v>0.20841656241575568</v>
      </c>
      <c r="F221" s="653">
        <v>2023</v>
      </c>
      <c r="G221" s="654">
        <v>45139</v>
      </c>
    </row>
    <row r="222" spans="2:7" x14ac:dyDescent="0.2">
      <c r="B222" s="658">
        <v>63888.59</v>
      </c>
      <c r="C222" s="655">
        <v>3222536.33</v>
      </c>
      <c r="D222" s="651">
        <f t="shared" ref="D222" si="116">+B222/C222</f>
        <v>1.9825560818425278E-2</v>
      </c>
      <c r="E222" s="652">
        <f t="shared" ref="E222" si="117">(((B222/C222) +1)^12)-1</f>
        <v>0.26564152293234544</v>
      </c>
      <c r="F222" s="653">
        <v>2023</v>
      </c>
      <c r="G222" s="654">
        <v>45170</v>
      </c>
    </row>
    <row r="223" spans="2:7" x14ac:dyDescent="0.2">
      <c r="B223" s="658">
        <v>770.98</v>
      </c>
      <c r="C223" s="655">
        <v>3216457.0399999996</v>
      </c>
      <c r="D223" s="651">
        <f t="shared" ref="D223" si="118">+B223/C223</f>
        <v>2.3969852244630014E-4</v>
      </c>
      <c r="E223" s="652">
        <f t="shared" ref="E223" si="119">(((B223/C223) +1)^12)-1</f>
        <v>2.8801773560114263E-3</v>
      </c>
      <c r="F223" s="653">
        <v>2023</v>
      </c>
      <c r="G223" s="654">
        <v>45200</v>
      </c>
    </row>
    <row r="224" spans="2:7" x14ac:dyDescent="0.2">
      <c r="B224" s="658">
        <v>175928.11</v>
      </c>
      <c r="C224" s="655">
        <v>3176765.1799999997</v>
      </c>
      <c r="D224" s="651">
        <f t="shared" ref="D224" si="120">+B224/C224</f>
        <v>5.5379639360061232E-2</v>
      </c>
      <c r="E224" s="652">
        <f t="shared" ref="E224" si="121">(((B224/C224) +1)^12)-1</f>
        <v>0.90943349616175495</v>
      </c>
      <c r="F224" s="653">
        <v>2023</v>
      </c>
      <c r="G224" s="654">
        <v>45231</v>
      </c>
    </row>
    <row r="225" spans="2:7" x14ac:dyDescent="0.2">
      <c r="B225" s="658">
        <v>136346.46</v>
      </c>
      <c r="C225" s="655">
        <v>3052900.7399999998</v>
      </c>
      <c r="D225" s="651">
        <f t="shared" ref="D225" si="122">+B225/C225</f>
        <v>4.4661281715959102E-2</v>
      </c>
      <c r="E225" s="652">
        <f t="shared" ref="E225" si="123">(((B225/C225) +1)^12)-1</f>
        <v>0.68929689945687245</v>
      </c>
      <c r="F225" s="653">
        <v>2023</v>
      </c>
      <c r="G225" s="654">
        <v>45261</v>
      </c>
    </row>
    <row r="226" spans="2:7" x14ac:dyDescent="0.2">
      <c r="B226" s="658">
        <v>25798.27</v>
      </c>
      <c r="C226" s="655">
        <v>3038975.8</v>
      </c>
      <c r="D226" s="651">
        <f t="shared" ref="D226" si="124">+B226/C226</f>
        <v>8.4891330822706793E-3</v>
      </c>
      <c r="E226" s="652">
        <f t="shared" ref="E226" si="125">(((B226/C226) +1)^12)-1</f>
        <v>0.10676310808090772</v>
      </c>
      <c r="F226" s="653">
        <v>2024</v>
      </c>
      <c r="G226" s="654">
        <v>45292</v>
      </c>
    </row>
    <row r="227" spans="2:7" x14ac:dyDescent="0.2">
      <c r="B227" s="658">
        <v>129089.38</v>
      </c>
      <c r="C227" s="655">
        <v>2939584.69</v>
      </c>
      <c r="D227" s="651">
        <f t="shared" ref="D227" si="126">+B227/C227</f>
        <v>4.3914155778243626E-2</v>
      </c>
      <c r="E227" s="652">
        <f t="shared" ref="E227" si="127">(((B227/C227) +1)^12)-1</f>
        <v>0.67485587661579949</v>
      </c>
      <c r="F227" s="653">
        <v>2024</v>
      </c>
      <c r="G227" s="654">
        <v>45323</v>
      </c>
    </row>
    <row r="228" spans="2:7" x14ac:dyDescent="0.2">
      <c r="B228" s="658">
        <v>91981.22</v>
      </c>
      <c r="C228" s="655">
        <v>2836623.6999999997</v>
      </c>
      <c r="D228" s="651">
        <f t="shared" ref="D228" si="128">+B228/C228</f>
        <v>3.2426303143416595E-2</v>
      </c>
      <c r="E228" s="652">
        <f t="shared" ref="E228" si="129">(((B228/C228) +1)^12)-1</f>
        <v>0.46659002389773119</v>
      </c>
      <c r="F228" s="653">
        <v>2024</v>
      </c>
      <c r="G228" s="654">
        <v>45352</v>
      </c>
    </row>
    <row r="229" spans="2:7" x14ac:dyDescent="0.2">
      <c r="B229" s="658">
        <v>38703.18</v>
      </c>
      <c r="C229" s="655">
        <v>2753649.66</v>
      </c>
      <c r="D229" s="651">
        <f t="shared" ref="D229" si="130">+B229/C229</f>
        <v>1.4055230250314413E-2</v>
      </c>
      <c r="E229" s="652">
        <f t="shared" ref="E229" si="131">(((B229/C229) +1)^12)-1</f>
        <v>0.18233164204755048</v>
      </c>
      <c r="F229" s="653">
        <v>2024</v>
      </c>
      <c r="G229" s="654">
        <v>45383</v>
      </c>
    </row>
    <row r="230" spans="2:7" x14ac:dyDescent="0.2">
      <c r="B230" s="658">
        <v>17387.11</v>
      </c>
      <c r="C230" s="655">
        <v>2528590.64</v>
      </c>
      <c r="D230" s="651">
        <f t="shared" ref="D230" si="132">+B230/C230</f>
        <v>6.8762059484646356E-3</v>
      </c>
      <c r="E230" s="652">
        <f t="shared" ref="E230" si="133">(((B230/C230) +1)^12)-1</f>
        <v>8.5707742908980977E-2</v>
      </c>
      <c r="F230" s="653">
        <v>2024</v>
      </c>
      <c r="G230" s="654">
        <v>45413</v>
      </c>
    </row>
    <row r="231" spans="2:7" x14ac:dyDescent="0.2">
      <c r="B231" s="658">
        <v>130326.45</v>
      </c>
      <c r="C231" s="655">
        <v>2568057.0099999998</v>
      </c>
      <c r="D231" s="651">
        <f t="shared" ref="D231" si="134">+B231/C231</f>
        <v>5.0749048596861177E-2</v>
      </c>
      <c r="E231" s="652">
        <f t="shared" ref="E231" si="135">(((B231/C231) +1)^12)-1</f>
        <v>0.81129031663078588</v>
      </c>
      <c r="F231" s="653">
        <v>2024</v>
      </c>
      <c r="G231" s="654">
        <v>45444</v>
      </c>
    </row>
    <row r="232" spans="2:7" x14ac:dyDescent="0.2">
      <c r="B232" s="658">
        <f>'REPORTE COBRANZA N'!$F$10/'REPORTE COBRANZA N'!$D$6</f>
        <v>1453.62</v>
      </c>
      <c r="C232" s="655">
        <f>'REPORTE COBRANZA N'!$C$82</f>
        <v>2490331.7400000002</v>
      </c>
      <c r="D232" s="651">
        <f t="shared" ref="D232" si="136">+B232/C232</f>
        <v>5.8370536609712875E-4</v>
      </c>
      <c r="E232" s="652">
        <f t="shared" ref="E232" si="137">(((B232/C232) +1)^12)-1</f>
        <v>7.0269951922590224E-3</v>
      </c>
      <c r="F232" s="653">
        <v>2024</v>
      </c>
      <c r="G232" s="654">
        <v>45474</v>
      </c>
    </row>
  </sheetData>
  <mergeCells count="1">
    <mergeCell ref="B1:G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95" fitToHeight="0" orientation="portrait" r:id="rId1"/>
  <headerFooter alignWithMargins="0"/>
  <ignoredErrors>
    <ignoredError sqref="G13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REPORTE COBRANZA N</vt:lpstr>
      <vt:lpstr>CONSOLIDADO</vt:lpstr>
      <vt:lpstr>REP MES PASADO</vt:lpstr>
      <vt:lpstr>COMISION ADMON MAESTRA</vt:lpstr>
      <vt:lpstr>EVENTOS RELEVANTES </vt:lpstr>
      <vt:lpstr>GASTOS Y COMISIONES DE COBRANZA</vt:lpstr>
      <vt:lpstr>GASTOS Y COMISIONES</vt:lpstr>
      <vt:lpstr>REESTRUCTURAS</vt:lpstr>
      <vt:lpstr>CPR</vt:lpstr>
      <vt:lpstr>RCV </vt:lpstr>
      <vt:lpstr>CxC</vt:lpstr>
      <vt:lpstr>ADJUDICADOS</vt:lpstr>
      <vt:lpstr>IFC</vt:lpstr>
      <vt:lpstr>CONSOLIDADO 1.1</vt:lpstr>
      <vt:lpstr>CONSOLIDADO 1</vt:lpstr>
      <vt:lpstr>'COMISION ADMON MAESTRA'!Área_de_impresión</vt:lpstr>
      <vt:lpstr>CONSOLIDADO!Área_de_impresión</vt:lpstr>
      <vt:lpstr>'CONSOLIDADO 1'!Área_de_impresión</vt:lpstr>
      <vt:lpstr>'CONSOLIDADO 1.1'!Área_de_impresión</vt:lpstr>
      <vt:lpstr>CPR!Área_de_impresión</vt:lpstr>
      <vt:lpstr>'EVENTOS RELEVANTES '!Área_de_impresión</vt:lpstr>
      <vt:lpstr>'GASTOS Y COMISIONES'!Área_de_impresión</vt:lpstr>
      <vt:lpstr>'GASTOS Y COMISIONES DE COBRANZA'!Área_de_impresión</vt:lpstr>
      <vt:lpstr>IFC!Área_de_impresión</vt:lpstr>
      <vt:lpstr>'RCV '!Área_de_impresión</vt:lpstr>
      <vt:lpstr>REESTRUCTURAS!Área_de_impresión</vt:lpstr>
      <vt:lpstr>'REP MES PASADO'!Área_de_impresión</vt:lpstr>
      <vt:lpstr>'REPORTE COBRANZA N'!Área_de_impresión</vt:lpstr>
      <vt:lpstr>CPR!Títulos_a_imprimir</vt:lpstr>
      <vt:lpstr>'GASTOS Y COMISIONES'!Títulos_a_imprimir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Miguel Almaguer Rivera</cp:lastModifiedBy>
  <cp:lastPrinted>2024-08-13T16:47:11Z</cp:lastPrinted>
  <dcterms:created xsi:type="dcterms:W3CDTF">2014-08-12T17:38:20Z</dcterms:created>
  <dcterms:modified xsi:type="dcterms:W3CDTF">2024-08-17T02:14:05Z</dcterms:modified>
</cp:coreProperties>
</file>